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916" windowHeight="8160" tabRatio="801" activeTab="1"/>
  </bookViews>
  <sheets>
    <sheet name="Index" sheetId="1" r:id="rId1"/>
    <sheet name="Applications" sheetId="2" r:id="rId2"/>
    <sheet name="Gas data" sheetId="3" r:id="rId3"/>
    <sheet name="Data NIST" sheetId="4" r:id="rId4"/>
    <sheet name="Ref" sheetId="5" r:id="rId5"/>
  </sheets>
  <definedNames>
    <definedName name="External_Links" localSheetId="3">'Data NIST'!$B$171</definedName>
    <definedName name="g">'Gas data'!$D$36</definedName>
    <definedName name="Kelv">'Gas data'!$D$37</definedName>
    <definedName name="Rank">'Gas data'!$D$38</definedName>
    <definedName name="References" localSheetId="3">'Data NIST'!$B$162</definedName>
    <definedName name="Rg">'Gas data'!$D$32</definedName>
    <definedName name="T">'Gas data'!$K$6</definedName>
    <definedName name="tc">'Gas data'!$K$5</definedName>
  </definedNames>
  <calcPr fullCalcOnLoad="1" iterate="1" iterateCount="100" iterateDelta="1E-05"/>
</workbook>
</file>

<file path=xl/sharedStrings.xml><?xml version="1.0" encoding="utf-8"?>
<sst xmlns="http://schemas.openxmlformats.org/spreadsheetml/2006/main" count="1267" uniqueCount="560">
  <si>
    <t>Cp</t>
  </si>
  <si>
    <t>ºC</t>
  </si>
  <si>
    <t>a</t>
  </si>
  <si>
    <t xml:space="preserve"> </t>
  </si>
  <si>
    <t>t =</t>
  </si>
  <si>
    <t>[5]</t>
  </si>
  <si>
    <t>K</t>
  </si>
  <si>
    <t>-</t>
  </si>
  <si>
    <t>LHV</t>
  </si>
  <si>
    <t>%</t>
  </si>
  <si>
    <t xml:space="preserve"> CH4</t>
  </si>
  <si>
    <t xml:space="preserve"> C2H6</t>
  </si>
  <si>
    <t xml:space="preserve"> C3H8</t>
  </si>
  <si>
    <t xml:space="preserve"> C4H10</t>
  </si>
  <si>
    <t>C8H18 (gas)</t>
  </si>
  <si>
    <t xml:space="preserve"> H2</t>
  </si>
  <si>
    <t xml:space="preserve"> CO</t>
  </si>
  <si>
    <t xml:space="preserve"> CO2</t>
  </si>
  <si>
    <t xml:space="preserve"> S</t>
  </si>
  <si>
    <t xml:space="preserve"> SH2</t>
  </si>
  <si>
    <t xml:space="preserve"> SO2</t>
  </si>
  <si>
    <t xml:space="preserve"> H2O</t>
  </si>
  <si>
    <t xml:space="preserve"> N2</t>
  </si>
  <si>
    <t xml:space="preserve"> Ar</t>
  </si>
  <si>
    <t>O2</t>
  </si>
  <si>
    <t>LHV =</t>
  </si>
  <si>
    <t>CO2</t>
  </si>
  <si>
    <t>H2O</t>
  </si>
  <si>
    <t>g =</t>
  </si>
  <si>
    <t>N2</t>
  </si>
  <si>
    <t>T =</t>
  </si>
  <si>
    <t>Specific heat</t>
  </si>
  <si>
    <t>Cp=A+B*T*(9/5)+C*T*T*(81/25)</t>
  </si>
  <si>
    <t>kcal(kmol*K)</t>
  </si>
  <si>
    <t>Gas</t>
  </si>
  <si>
    <t>Gas temperature (ºC)</t>
  </si>
  <si>
    <t>Cp=4.1869*(A+B*T*(9/5)+C*T*T*(81/25))</t>
  </si>
  <si>
    <t>kJ(kmol*K)</t>
  </si>
  <si>
    <t>kg/kmol</t>
  </si>
  <si>
    <t>MJ/kg</t>
  </si>
  <si>
    <t>A = a</t>
  </si>
  <si>
    <t>B = b E-3</t>
  </si>
  <si>
    <t xml:space="preserve"> C = -c E-6</t>
  </si>
  <si>
    <t>b</t>
  </si>
  <si>
    <t>c</t>
  </si>
  <si>
    <t>A</t>
  </si>
  <si>
    <t>B</t>
  </si>
  <si>
    <t>C</t>
  </si>
  <si>
    <t>kJ/Kmol K</t>
  </si>
  <si>
    <t xml:space="preserve">     J/kg K</t>
  </si>
  <si>
    <t>Methane</t>
  </si>
  <si>
    <t>Ethane</t>
  </si>
  <si>
    <t>Propane</t>
  </si>
  <si>
    <t>n-Butane</t>
  </si>
  <si>
    <t>Nitrogen</t>
  </si>
  <si>
    <t>Oxigen</t>
  </si>
  <si>
    <t>Water (v)</t>
  </si>
  <si>
    <t>Carbon dioxide</t>
  </si>
  <si>
    <t>Air</t>
  </si>
  <si>
    <t xml:space="preserve">C </t>
  </si>
  <si>
    <t>General gas Conststant</t>
  </si>
  <si>
    <t>For hidrogen</t>
  </si>
  <si>
    <t>cph = ah + bh*T + ch/T^.5</t>
  </si>
  <si>
    <t xml:space="preserve">J/(kmol*K) </t>
  </si>
  <si>
    <t xml:space="preserve">ah  </t>
  </si>
  <si>
    <t xml:space="preserve">bh </t>
  </si>
  <si>
    <t xml:space="preserve">ch  </t>
  </si>
  <si>
    <t>Standard ambient pressure</t>
  </si>
  <si>
    <t>Hydrogen</t>
  </si>
  <si>
    <t>P =</t>
  </si>
  <si>
    <t xml:space="preserve">  Pa</t>
  </si>
  <si>
    <t>Cp = a + b*TC/100 + cTC^2 / 1e5</t>
  </si>
  <si>
    <t>D</t>
  </si>
  <si>
    <t>b*100</t>
  </si>
  <si>
    <t>c*E+5</t>
  </si>
  <si>
    <t>d*E+9</t>
  </si>
  <si>
    <t>Pentane</t>
  </si>
  <si>
    <t>Sulfur</t>
  </si>
  <si>
    <t>SH2</t>
  </si>
  <si>
    <t>Ar</t>
  </si>
  <si>
    <t>Properties of Various Ideal Gases (at 300 K)</t>
  </si>
  <si>
    <t>Formula</t>
  </si>
  <si>
    <t>Molar Mass</t>
  </si>
  <si>
    <t>Gas constant</t>
  </si>
  <si>
    <t>Specific Heat</t>
  </si>
  <si>
    <t>at Const. Press.</t>
  </si>
  <si>
    <t>at Const. Vol.</t>
  </si>
  <si>
    <t>Ratio</t>
  </si>
  <si>
    <t>M[kg/kmol]</t>
  </si>
  <si>
    <t>R[kJ/kg.K]</t>
  </si>
  <si>
    <t>Cp[kJ/kg.K]</t>
  </si>
  <si>
    <t>Cv[kJ/kg.K]</t>
  </si>
  <si>
    <t>k = Cp/Cv</t>
  </si>
  <si>
    <t>--</t>
  </si>
  <si>
    <t>Argon</t>
  </si>
  <si>
    <t>Butane</t>
  </si>
  <si>
    <t>C4H10</t>
  </si>
  <si>
    <t>Carbon Dioxide</t>
  </si>
  <si>
    <t>Carbon Monoxide</t>
  </si>
  <si>
    <t>CO</t>
  </si>
  <si>
    <t>C2H6</t>
  </si>
  <si>
    <t>Ethylene</t>
  </si>
  <si>
    <t>C2H4</t>
  </si>
  <si>
    <t>Helium</t>
  </si>
  <si>
    <t>He</t>
  </si>
  <si>
    <t>H2</t>
  </si>
  <si>
    <t>CH4</t>
  </si>
  <si>
    <t>Neon</t>
  </si>
  <si>
    <t>Ne</t>
  </si>
  <si>
    <t>Octane</t>
  </si>
  <si>
    <t>C8H18</t>
  </si>
  <si>
    <t>Oxygen</t>
  </si>
  <si>
    <t>C3H8</t>
  </si>
  <si>
    <t>Steam</t>
  </si>
  <si>
    <t>Adapted from TEST (The Expert System for Thermodynamics) &lt;www.thermofluids.net&gt; by S.Bhattacharjee, San Diego State Universi</t>
  </si>
  <si>
    <t>https://www.ohio.edu/mechanical/thermo/property_tables/gas/idealGas.html</t>
  </si>
  <si>
    <t>Rg =</t>
  </si>
  <si>
    <t>Coal gas</t>
  </si>
  <si>
    <t>m/s²</t>
  </si>
  <si>
    <t>Sulfur  dioxide</t>
  </si>
  <si>
    <t>https://en.wikipedia.org/wiki/Heat_of_combustion</t>
  </si>
  <si>
    <t>Lower heating value for some organic compounds (at 15.4°C)</t>
  </si>
  <si>
    <t>Fuel</t>
  </si>
  <si>
    <t>MJ/L</t>
  </si>
  <si>
    <t>BTU/lb</t>
  </si>
  <si>
    <t>kJ/mol</t>
  </si>
  <si>
    <t>Paraffins</t>
  </si>
  <si>
    <t>—</t>
  </si>
  <si>
    <t>Hexane</t>
  </si>
  <si>
    <t>Heptane</t>
  </si>
  <si>
    <t>Nonane</t>
  </si>
  <si>
    <t>Decane</t>
  </si>
  <si>
    <t>Undecane</t>
  </si>
  <si>
    <t>Dodecane</t>
  </si>
  <si>
    <t>Isoparaffins</t>
  </si>
  <si>
    <t>Isobutane</t>
  </si>
  <si>
    <t>Isopentane</t>
  </si>
  <si>
    <t>2-Methylpentane</t>
  </si>
  <si>
    <t>2,3-Dimethylbutane</t>
  </si>
  <si>
    <t>2,3-Dimethylpentane</t>
  </si>
  <si>
    <t>2,2,4-Trimethylpentane</t>
  </si>
  <si>
    <t>Naphthenes</t>
  </si>
  <si>
    <t>Cyclopentane</t>
  </si>
  <si>
    <t>Methylcyclopentane</t>
  </si>
  <si>
    <t>Cyclohexane</t>
  </si>
  <si>
    <t>Methylcyclohexane</t>
  </si>
  <si>
    <t>Monoolefins</t>
  </si>
  <si>
    <t>Propylene</t>
  </si>
  <si>
    <t>1-Butene</t>
  </si>
  <si>
    <t>cis-2-Butene</t>
  </si>
  <si>
    <t>trans-2-Butene</t>
  </si>
  <si>
    <t>Isobutene</t>
  </si>
  <si>
    <t>1-Pentene</t>
  </si>
  <si>
    <t>2-Methyl-1-pentene</t>
  </si>
  <si>
    <t>1-Hexene</t>
  </si>
  <si>
    <t>Diolefins</t>
  </si>
  <si>
    <t>1,3-Butadiene</t>
  </si>
  <si>
    <t>Isoprene</t>
  </si>
  <si>
    <t>Nitrous derivated</t>
  </si>
  <si>
    <t>Nitromethane</t>
  </si>
  <si>
    <t>Nitropropane</t>
  </si>
  <si>
    <t>Acetylenes</t>
  </si>
  <si>
    <t>Acetylene</t>
  </si>
  <si>
    <t>Methylacetylene</t>
  </si>
  <si>
    <t>1-Butyne</t>
  </si>
  <si>
    <t>1-Pentyne</t>
  </si>
  <si>
    <t>Aromatics</t>
  </si>
  <si>
    <t>Benzene</t>
  </si>
  <si>
    <t>Toluene</t>
  </si>
  <si>
    <t>o-Xylene</t>
  </si>
  <si>
    <t>m-Xylene</t>
  </si>
  <si>
    <t>p-Xylene</t>
  </si>
  <si>
    <t>Ethylbenzene</t>
  </si>
  <si>
    <t>1,2,4-Trimethylbenzene</t>
  </si>
  <si>
    <t>Propylbenzene</t>
  </si>
  <si>
    <t>Cumene</t>
  </si>
  <si>
    <t>Alcohols</t>
  </si>
  <si>
    <t>Methanol</t>
  </si>
  <si>
    <t>Ethanol</t>
  </si>
  <si>
    <t>n-propanol</t>
  </si>
  <si>
    <t>Isopropanol</t>
  </si>
  <si>
    <t>n-Butanol</t>
  </si>
  <si>
    <t>Isobutanol</t>
  </si>
  <si>
    <t>Tertiobutanol</t>
  </si>
  <si>
    <t>n-Pentanol</t>
  </si>
  <si>
    <t>Ethers</t>
  </si>
  <si>
    <t>Methoxymethane</t>
  </si>
  <si>
    <t>Ethoxyethane</t>
  </si>
  <si>
    <t>Propoxypropane</t>
  </si>
  <si>
    <t>Butoxybutane</t>
  </si>
  <si>
    <t>Aldehydes and ketones</t>
  </si>
  <si>
    <t>Methanal</t>
  </si>
  <si>
    <t>Ethanal</t>
  </si>
  <si>
    <t>Propionaldehyde</t>
  </si>
  <si>
    <t>Butyraldehyde</t>
  </si>
  <si>
    <t>Acetone</t>
  </si>
  <si>
    <t>Other species</t>
  </si>
  <si>
    <t>Carbon (graphite)</t>
  </si>
  <si>
    <t>Carbon monoxide</t>
  </si>
  <si>
    <t>Ammonia</t>
  </si>
  <si>
    <r>
      <t>Sulfur (</t>
    </r>
    <r>
      <rPr>
        <sz val="7.5"/>
        <color indexed="8"/>
        <rFont val="Calibri"/>
        <family val="2"/>
      </rPr>
      <t>solid</t>
    </r>
    <r>
      <rPr>
        <sz val="11"/>
        <color theme="1"/>
        <rFont val="Calibri"/>
        <family val="2"/>
      </rPr>
      <t>)</t>
    </r>
  </si>
  <si>
    <t>Note that there is no difference between the lower and higher heating values for the combustion of carbon, carbon monoxide and sulfur since no water is formed in combusting those substances.</t>
  </si>
  <si>
    <t>http://www.thermalfluidscentral.org/encyclopedia/index.php/Heat_of_Combustion</t>
  </si>
  <si>
    <t>Higher Calorific Value</t>
  </si>
  <si>
    <t>(Gross Calorific Value - GCV)</t>
  </si>
  <si>
    <t>Lower Calorific Value</t>
  </si>
  <si>
    <t>(Net Calorific Value - NCV)</t>
  </si>
  <si>
    <t>kJ/kg</t>
  </si>
  <si>
    <t>Btu/lb</t>
  </si>
  <si>
    <t>Alcohol 96%</t>
  </si>
  <si>
    <t>Anthracite</t>
  </si>
  <si>
    <t>32500 - 34000</t>
  </si>
  <si>
    <t>14000 - 14500</t>
  </si>
  <si>
    <t>Bituminous coal</t>
  </si>
  <si>
    <t>17000 - 23250</t>
  </si>
  <si>
    <t>7300 - 10000</t>
  </si>
  <si>
    <t>Carbon</t>
  </si>
  <si>
    <t>Charcoal</t>
  </si>
  <si>
    <t>Coal (Lignite - Anthrasite)</t>
  </si>
  <si>
    <t>15000 - 27000</t>
  </si>
  <si>
    <t>8000 - 14000</t>
  </si>
  <si>
    <t>Coke</t>
  </si>
  <si>
    <t>28000 - 31000</t>
  </si>
  <si>
    <t>12000 - 13500</t>
  </si>
  <si>
    <t>Diesel fuel</t>
  </si>
  <si>
    <t>Ether</t>
  </si>
  <si>
    <t>Gasoline</t>
  </si>
  <si>
    <t>Glycerin</t>
  </si>
  <si>
    <t>Kerosene</t>
  </si>
  <si>
    <t>Lignite</t>
  </si>
  <si>
    <t>Oil, heavy fuel</t>
  </si>
  <si>
    <t>Oil, light distillate</t>
  </si>
  <si>
    <t>Oil, light fuel</t>
  </si>
  <si>
    <t>Oils vegetable</t>
  </si>
  <si>
    <t>39000 - 48000</t>
  </si>
  <si>
    <t>Paraffin</t>
  </si>
  <si>
    <t>Peat</t>
  </si>
  <si>
    <t>13800 - 20500</t>
  </si>
  <si>
    <t>5500 - 8800</t>
  </si>
  <si>
    <t>Petrol</t>
  </si>
  <si>
    <t>Petroleum</t>
  </si>
  <si>
    <t>Semi anthracite</t>
  </si>
  <si>
    <t>26700 - 32500</t>
  </si>
  <si>
    <t>11500 - 14000</t>
  </si>
  <si>
    <t>Tar</t>
  </si>
  <si>
    <t>Turpentine</t>
  </si>
  <si>
    <t>Wood (dry)</t>
  </si>
  <si>
    <t>14400 - 17400</t>
  </si>
  <si>
    <t>6200 - 7500</t>
  </si>
  <si>
    <t>Natural gas</t>
  </si>
  <si>
    <t>950 - 1150</t>
  </si>
  <si>
    <t>Town gas</t>
  </si>
  <si>
    <t>kJ/l</t>
  </si>
  <si>
    <t>Btu/Imp gal</t>
  </si>
  <si>
    <t>Gas oil</t>
  </si>
  <si>
    <t>Heavy fuel oil</t>
  </si>
  <si>
    <t>LHV of sulfur</t>
  </si>
  <si>
    <t>http://www.engineeringtoolbox.com/fuels-higher-calorific-values-d_169.html</t>
  </si>
  <si>
    <t>Gross Heating Value</t>
  </si>
  <si>
    <t>Net Heating Value</t>
  </si>
  <si>
    <t>Blast Furnace gas</t>
  </si>
  <si>
    <t>Blue water gas</t>
  </si>
  <si>
    <t>Butylene (Butene)</t>
  </si>
  <si>
    <t>Carbon to CO</t>
  </si>
  <si>
    <t>Carbon monoxide - CO</t>
  </si>
  <si>
    <t>Carburetted Water Gas</t>
  </si>
  <si>
    <t>Coke Oven Gas</t>
  </si>
  <si>
    <t>Digester Gas (Sewage or Biogas)</t>
  </si>
  <si>
    <t>Ethyl alcohol saturated with water</t>
  </si>
  <si>
    <t>Hydrogen Sulphide</t>
  </si>
  <si>
    <t>Landfill Gas</t>
  </si>
  <si>
    <t>Methyl alcohol saturated with water</t>
  </si>
  <si>
    <t>Naphthalene</t>
  </si>
  <si>
    <t>Natural Gas (typical)</t>
  </si>
  <si>
    <t>Octane saturated with water</t>
  </si>
  <si>
    <t>Producer gas</t>
  </si>
  <si>
    <t>Sasol</t>
  </si>
  <si>
    <t>Sulphur</t>
  </si>
  <si>
    <t>Water Gas (bituminous)</t>
  </si>
  <si>
    <t>Xylene</t>
  </si>
  <si>
    <t>LHV = HHV =</t>
  </si>
  <si>
    <r>
      <t>(</t>
    </r>
    <r>
      <rPr>
        <i/>
        <sz val="11"/>
        <color indexed="8"/>
        <rFont val="Arial"/>
        <family val="2"/>
      </rPr>
      <t>Btu/lb</t>
    </r>
    <r>
      <rPr>
        <sz val="11"/>
        <color indexed="8"/>
        <rFont val="Arial"/>
        <family val="2"/>
      </rPr>
      <t>)</t>
    </r>
  </si>
  <si>
    <t>Btu/lb =</t>
  </si>
  <si>
    <t>Kelv =</t>
  </si>
  <si>
    <r>
      <t>O2</t>
    </r>
    <r>
      <rPr>
        <vertAlign val="subscript"/>
        <sz val="10"/>
        <rFont val="Arial"/>
        <family val="2"/>
      </rPr>
      <t>in air</t>
    </r>
    <r>
      <rPr>
        <sz val="10"/>
        <rFont val="Arial"/>
        <family val="2"/>
      </rPr>
      <t xml:space="preserve"> =</t>
    </r>
  </si>
  <si>
    <t>% vol</t>
  </si>
  <si>
    <r>
      <t>V</t>
    </r>
    <r>
      <rPr>
        <vertAlign val="subscript"/>
        <sz val="10"/>
        <rFont val="Arial"/>
        <family val="2"/>
      </rPr>
      <t>N2/O2</t>
    </r>
    <r>
      <rPr>
        <sz val="10"/>
        <rFont val="Arial"/>
        <family val="2"/>
      </rPr>
      <t xml:space="preserve"> =</t>
    </r>
  </si>
  <si>
    <r>
      <t xml:space="preserve"> (100-O2</t>
    </r>
    <r>
      <rPr>
        <vertAlign val="subscript"/>
        <sz val="10"/>
        <rFont val="Arial"/>
        <family val="2"/>
      </rPr>
      <t>in air</t>
    </r>
    <r>
      <rPr>
        <sz val="10"/>
        <rFont val="Arial"/>
        <family val="2"/>
      </rPr>
      <t>)/O2</t>
    </r>
    <r>
      <rPr>
        <vertAlign val="subscript"/>
        <sz val="10"/>
        <rFont val="Arial"/>
        <family val="2"/>
      </rPr>
      <t>in air</t>
    </r>
  </si>
  <si>
    <r>
      <t>m³</t>
    </r>
    <r>
      <rPr>
        <vertAlign val="subscript"/>
        <sz val="10"/>
        <rFont val="Arial"/>
        <family val="2"/>
      </rPr>
      <t>N2</t>
    </r>
    <r>
      <rPr>
        <sz val="10"/>
        <rFont val="Arial"/>
        <family val="2"/>
      </rPr>
      <t xml:space="preserve"> / m³</t>
    </r>
    <r>
      <rPr>
        <vertAlign val="subscript"/>
        <sz val="10"/>
        <rFont val="Arial"/>
        <family val="2"/>
      </rPr>
      <t>O2</t>
    </r>
    <r>
      <rPr>
        <sz val="10"/>
        <rFont val="Arial"/>
        <family val="2"/>
      </rPr>
      <t xml:space="preserve"> </t>
    </r>
  </si>
  <si>
    <t>% mass</t>
  </si>
  <si>
    <r>
      <t>m</t>
    </r>
    <r>
      <rPr>
        <vertAlign val="subscript"/>
        <sz val="10"/>
        <rFont val="Arial"/>
        <family val="2"/>
      </rPr>
      <t>N2/O2</t>
    </r>
    <r>
      <rPr>
        <sz val="10"/>
        <rFont val="Arial"/>
        <family val="2"/>
      </rPr>
      <t xml:space="preserve"> =</t>
    </r>
  </si>
  <si>
    <r>
      <t>kg</t>
    </r>
    <r>
      <rPr>
        <vertAlign val="subscript"/>
        <sz val="10"/>
        <rFont val="Arial"/>
        <family val="2"/>
      </rPr>
      <t>N2</t>
    </r>
    <r>
      <rPr>
        <sz val="10"/>
        <rFont val="Arial"/>
        <family val="2"/>
      </rPr>
      <t xml:space="preserve"> / kg</t>
    </r>
    <r>
      <rPr>
        <vertAlign val="subscript"/>
        <sz val="10"/>
        <rFont val="Arial"/>
        <family val="2"/>
      </rPr>
      <t>O2</t>
    </r>
    <r>
      <rPr>
        <sz val="10"/>
        <rFont val="Arial"/>
        <family val="2"/>
      </rPr>
      <t xml:space="preserve"> </t>
    </r>
  </si>
  <si>
    <t>Note. Considering oxigen on one side and the rest</t>
  </si>
  <si>
    <t>as nitrogen</t>
  </si>
  <si>
    <t xml:space="preserve">Note that there is no difference between the lower and </t>
  </si>
  <si>
    <t xml:space="preserve">higher heating values for the combustion of carbon, </t>
  </si>
  <si>
    <t xml:space="preserve">carbon monoxide and sulfur since no water is formed in </t>
  </si>
  <si>
    <t>combusting those substances.</t>
  </si>
  <si>
    <t>CO   ----&gt;   CO2</t>
  </si>
  <si>
    <t>C      ----&gt;   CO2</t>
  </si>
  <si>
    <t>S      ----&gt;   SO2</t>
  </si>
  <si>
    <t>MM</t>
  </si>
  <si>
    <t>R</t>
  </si>
  <si>
    <t>ºF</t>
  </si>
  <si>
    <t>SI system</t>
  </si>
  <si>
    <t>Imperial system</t>
  </si>
  <si>
    <r>
      <t>R</t>
    </r>
    <r>
      <rPr>
        <vertAlign val="subscript"/>
        <sz val="10"/>
        <color indexed="8"/>
        <rFont val="Arial"/>
        <family val="2"/>
      </rPr>
      <t>air</t>
    </r>
    <r>
      <rPr>
        <sz val="10"/>
        <color indexed="8"/>
        <rFont val="Arial"/>
        <family val="2"/>
      </rPr>
      <t xml:space="preserve"> =</t>
    </r>
  </si>
  <si>
    <t>[J/(kg*kmol)</t>
  </si>
  <si>
    <t>Volumetric nitrogen-oxigen ratio of dry air</t>
  </si>
  <si>
    <t>Mass nitrogen-oxigen ratio of air</t>
  </si>
  <si>
    <t>Mixing ratio</t>
  </si>
  <si>
    <t>(mol/mol)</t>
  </si>
  <si>
    <t>Nitrogen (N2)</t>
  </si>
  <si>
    <t>Oxygen (O2)</t>
  </si>
  <si>
    <t>Argon (Ar)</t>
  </si>
  <si>
    <t>Neon (Ne)</t>
  </si>
  <si>
    <t>Ozone (O3)</t>
  </si>
  <si>
    <t>Helium (He)</t>
  </si>
  <si>
    <t>Methane (CH4)</t>
  </si>
  <si>
    <t>Krypton (Kr)</t>
  </si>
  <si>
    <t>Hydrogen (H2)</t>
  </si>
  <si>
    <t>Nitrous oxide (N2O)</t>
  </si>
  <si>
    <t xml:space="preserve"> (CO2)</t>
  </si>
  <si>
    <t>Inert/O2 =</t>
  </si>
  <si>
    <r>
      <t>kg</t>
    </r>
    <r>
      <rPr>
        <vertAlign val="subscript"/>
        <sz val="10"/>
        <color indexed="8"/>
        <rFont val="Arial"/>
        <family val="2"/>
      </rPr>
      <t>da</t>
    </r>
    <r>
      <rPr>
        <sz val="10"/>
        <color indexed="8"/>
        <rFont val="Arial"/>
        <family val="2"/>
      </rPr>
      <t>/kmol</t>
    </r>
    <r>
      <rPr>
        <vertAlign val="subscript"/>
        <sz val="10"/>
        <color indexed="8"/>
        <rFont val="Arial"/>
        <family val="2"/>
      </rPr>
      <t>da</t>
    </r>
  </si>
  <si>
    <t>Vol</t>
  </si>
  <si>
    <t>[10]</t>
  </si>
  <si>
    <t>Gas Tables</t>
  </si>
  <si>
    <t>Thermodynamic properties of air, products of</t>
  </si>
  <si>
    <t>combustion and component gases</t>
  </si>
  <si>
    <t>Josedph H. Keenan &amp; Joseph Kaye</t>
  </si>
  <si>
    <t>John Wiley &amp; Sons, Inc. 1948</t>
  </si>
  <si>
    <t>Rank =</t>
  </si>
  <si>
    <t>h</t>
  </si>
  <si>
    <t>Btu/lbmol</t>
  </si>
  <si>
    <r>
      <t>t</t>
    </r>
    <r>
      <rPr>
        <vertAlign val="subscript"/>
        <sz val="11"/>
        <color indexed="8"/>
        <rFont val="Calibri"/>
        <family val="2"/>
      </rPr>
      <t>ref</t>
    </r>
    <r>
      <rPr>
        <sz val="11"/>
        <color theme="1"/>
        <rFont val="Calibri"/>
        <family val="2"/>
      </rPr>
      <t xml:space="preserve"> =</t>
    </r>
  </si>
  <si>
    <r>
      <t>h</t>
    </r>
    <r>
      <rPr>
        <vertAlign val="subscript"/>
        <sz val="11"/>
        <color indexed="8"/>
        <rFont val="Calibri"/>
        <family val="2"/>
      </rPr>
      <t>H2O</t>
    </r>
    <r>
      <rPr>
        <sz val="11"/>
        <color theme="1"/>
        <rFont val="Calibri"/>
        <family val="2"/>
      </rPr>
      <t xml:space="preserve"> </t>
    </r>
  </si>
  <si>
    <r>
      <t>h</t>
    </r>
    <r>
      <rPr>
        <vertAlign val="subscript"/>
        <sz val="11"/>
        <color indexed="8"/>
        <rFont val="Calibri"/>
        <family val="2"/>
      </rPr>
      <t>CO2</t>
    </r>
    <r>
      <rPr>
        <sz val="11"/>
        <color theme="1"/>
        <rFont val="Calibri"/>
        <family val="2"/>
      </rPr>
      <t xml:space="preserve"> </t>
    </r>
  </si>
  <si>
    <r>
      <t>h</t>
    </r>
    <r>
      <rPr>
        <vertAlign val="subscript"/>
        <sz val="11"/>
        <color indexed="8"/>
        <rFont val="Calibri"/>
        <family val="2"/>
      </rPr>
      <t>O2</t>
    </r>
    <r>
      <rPr>
        <sz val="11"/>
        <color theme="1"/>
        <rFont val="Calibri"/>
        <family val="2"/>
      </rPr>
      <t xml:space="preserve"> </t>
    </r>
  </si>
  <si>
    <r>
      <t>h</t>
    </r>
    <r>
      <rPr>
        <vertAlign val="subscript"/>
        <sz val="11"/>
        <color indexed="8"/>
        <rFont val="Calibri"/>
        <family val="2"/>
      </rPr>
      <t>N2</t>
    </r>
    <r>
      <rPr>
        <sz val="11"/>
        <color theme="1"/>
        <rFont val="Calibri"/>
        <family val="2"/>
      </rPr>
      <t xml:space="preserve"> </t>
    </r>
  </si>
  <si>
    <t>kJ/kmol</t>
  </si>
  <si>
    <t>gas</t>
  </si>
  <si>
    <t xml:space="preserve">   function</t>
  </si>
  <si>
    <t xml:space="preserve">   EntH2OSI_tC </t>
  </si>
  <si>
    <t xml:space="preserve">   EntCO2SI_tC</t>
  </si>
  <si>
    <t xml:space="preserve">   EntN2SI_tC</t>
  </si>
  <si>
    <t>http://www.liquisearch.com/heat_of_combustion/lower_heating_value_for_some_organic_compounds_at_154%C2%B0c</t>
  </si>
  <si>
    <t>Heat of Combustion</t>
  </si>
  <si>
    <t>energy/mole of fuel (J/mol)</t>
  </si>
  <si>
    <t>energy/mass of fuel</t>
  </si>
  <si>
    <t>energy/volume of fuel</t>
  </si>
  <si>
    <t>Contents</t>
  </si>
  <si>
    <t>[hide]</t>
  </si>
  <si>
    <t>1 Heating Value</t>
  </si>
  <si>
    <t>2 Heat of Combustion Tables</t>
  </si>
  <si>
    <t>3 Lower heating value for some organic compounds (at 15.4°C)</t>
  </si>
  <si>
    <t>4 References</t>
  </si>
  <si>
    <t>5 External Links</t>
  </si>
  <si>
    <r>
      <t>The heat of combustion (ΔH</t>
    </r>
    <r>
      <rPr>
        <vertAlign val="subscript"/>
        <sz val="11"/>
        <color indexed="8"/>
        <rFont val="Calibri"/>
        <family val="2"/>
      </rPr>
      <t>c</t>
    </r>
    <r>
      <rPr>
        <vertAlign val="superscript"/>
        <sz val="11"/>
        <color indexed="8"/>
        <rFont val="Calibri"/>
        <family val="2"/>
      </rPr>
      <t>0</t>
    </r>
    <r>
      <rPr>
        <sz val="11"/>
        <color theme="1"/>
        <rFont val="Calibri"/>
        <family val="2"/>
      </rPr>
      <t xml:space="preserve">) is the energy released as heat when a compound undergoes complete combustion with oxygen under standard conditions. </t>
    </r>
  </si>
  <si>
    <t>The chemical reaction is typically a hydrocarbon reacting with oxygen to form carbon dioxide, water and heat. It may be expressed with the quantities:</t>
  </si>
  <si>
    <t xml:space="preserve">The heat of combustion is traditionally measured with a bomb calorimeter. It may also be calculated as the difference between the heat of </t>
  </si>
  <si>
    <t>formation (ΔfH0) of the products and reactants.</t>
  </si>
  <si>
    <t>Heating Value</t>
  </si>
  <si>
    <t>The heat of combustion for fuels is expressed as the HHV, LHV, or GHV:</t>
  </si>
  <si>
    <t>A common method of relating HHV to LHV is:</t>
  </si>
  <si>
    <r>
      <t>HHV = LHV + h</t>
    </r>
    <r>
      <rPr>
        <vertAlign val="subscript"/>
        <sz val="11"/>
        <color indexed="8"/>
        <rFont val="Calibri"/>
        <family val="2"/>
      </rPr>
      <t>v</t>
    </r>
    <r>
      <rPr>
        <sz val="11"/>
        <color theme="1"/>
        <rFont val="Calibri"/>
        <family val="2"/>
      </rPr>
      <t xml:space="preserve"> x (n</t>
    </r>
    <r>
      <rPr>
        <vertAlign val="subscript"/>
        <sz val="11"/>
        <color indexed="8"/>
        <rFont val="Calibri"/>
        <family val="2"/>
      </rPr>
      <t>H2O,out</t>
    </r>
    <r>
      <rPr>
        <sz val="11"/>
        <color theme="1"/>
        <rFont val="Calibri"/>
        <family val="2"/>
      </rPr>
      <t>/n</t>
    </r>
    <r>
      <rPr>
        <vertAlign val="subscript"/>
        <sz val="11"/>
        <color indexed="8"/>
        <rFont val="Calibri"/>
        <family val="2"/>
      </rPr>
      <t>fuel,in</t>
    </r>
    <r>
      <rPr>
        <sz val="11"/>
        <color theme="1"/>
        <rFont val="Calibri"/>
        <family val="2"/>
      </rPr>
      <t>)</t>
    </r>
  </si>
  <si>
    <t>where hv is the heat of vaporization of water, nH2O,out is the moles of water vaporized and nfuel,in is the number of moles of fuel combusted.(Nazaroff, 2007)</t>
  </si>
  <si>
    <t>AR (As Received) indicates that the fuel heating value has been measured with all moisture and ash forming minerals present.</t>
  </si>
  <si>
    <t xml:space="preserve">The heating value or calorific value of a substance, usually a fuel or food (see food energy), is the amount of heat released during the combustion of a </t>
  </si>
  <si>
    <t xml:space="preserve">specified amount of it. The calorific value is a characteristic for each substance. It is measured in units of energy per unit of the substance, usually mass, </t>
  </si>
  <si>
    <t>such as: kcal/kg, kJ/kg, J/mol, Btu/m³. Heating value is commonly determined by use of a bomb calorimeter.</t>
  </si>
  <si>
    <t xml:space="preserve">The quantity known as higher heating value (HHV) (or gross calorific value or gross energy or upper heating value) is determined by bringing all the </t>
  </si>
  <si>
    <t xml:space="preserve">products of combustion back to the original pre-combustion temperature, and in particular condensing any vapor produced. This is the same as the </t>
  </si>
  <si>
    <t xml:space="preserve">thermodynamic heat of combustion since the enthalpy change for the reaction assumes a common temperature of the compounds before and after </t>
  </si>
  <si>
    <t>combustion, in which case the water produced by combustion is liquid.</t>
  </si>
  <si>
    <t xml:space="preserve">The quantity known as lower heating value (LHV) (or net calorific value) is determined by subtracting the heat of vaporization of the water vapor </t>
  </si>
  <si>
    <t>from the higher heating value. This treats any H2O formed as a vapor. The energy required to vaporize the water therefore is not realized as heat.</t>
  </si>
  <si>
    <t xml:space="preserve">Gross heating value (see AR) accounts for water in the exhaust leaving as vapor, and includes liquid water in the fuel prior to combustion. </t>
  </si>
  <si>
    <t>This value is important for fuels like wood or coal, which will usually contain some amount of water prior to burning.</t>
  </si>
  <si>
    <t xml:space="preserve">Most applications which burn fuel produce water vapor which is not used and thus wasting its heat content. In such applications, the lower heating value </t>
  </si>
  <si>
    <t xml:space="preserve">is the applicable measure. This is particularly relevant for natural gas, whose high hydrogen content produces much water. The gross calorific value is relevant </t>
  </si>
  <si>
    <t xml:space="preserve">for gas burnt in condensing boilers and power plants with flue gas condensation which condense the water vapor produced by combustion, recovering heat which </t>
  </si>
  <si>
    <t>would otherwise be wasted.</t>
  </si>
  <si>
    <t xml:space="preserve">Both HHV and LHV can be expressed in terms of AR (all moisture counted), MF and MAF (only water from combustion of hydrogen). AR, MF, and MAF are </t>
  </si>
  <si>
    <t>commonly used for indicating the heating values of coal:</t>
  </si>
  <si>
    <t xml:space="preserve">MF (Moisture Free) or Dry indicates that the fuel heating value has been measured after the fuel has been dried of all inherent moisture but still retaining its </t>
  </si>
  <si>
    <t>ash forming minerals.</t>
  </si>
  <si>
    <t xml:space="preserve">MAF (Moisture and Ash Free) or DAF (Dry and Ash Free) indicates that the fuel heating value has been measured in the absence of inherent moisture and ash </t>
  </si>
  <si>
    <t>forming minerals.</t>
  </si>
  <si>
    <t>Heat of Combustion Tables</t>
  </si>
  <si>
    <t>Higher (HHV) and Lower (LHV) Heating values</t>
  </si>
  <si>
    <t>of some common fuels (NIST Chemistry)</t>
  </si>
  <si>
    <t>Fuel   </t>
  </si>
  <si>
    <t>HHV MJ/kg   </t>
  </si>
  <si>
    <t>HHV BTU/lb   </t>
  </si>
  <si>
    <t>HHV kJ/mol   </t>
  </si>
  <si>
    <t>LHV MJ/kg   </t>
  </si>
  <si>
    <t>Diesel</t>
  </si>
  <si>
    <t>Coal (Anthracite)</t>
  </si>
  <si>
    <t>Coal (Lignite)</t>
  </si>
  <si>
    <t>Wood</t>
  </si>
  <si>
    <t>Peat (damp)</t>
  </si>
  <si>
    <t>Peat (dry)</t>
  </si>
  <si>
    <t>http://www.thermalfluidscentral.org/encyclopedia/index.php/Heat_of_Combustion#References</t>
  </si>
  <si>
    <r>
      <t xml:space="preserve">Coal </t>
    </r>
    <r>
      <rPr>
        <sz val="8"/>
        <color indexed="8"/>
        <rFont val="Calibri"/>
        <family val="2"/>
      </rPr>
      <t>(Anthracite)</t>
    </r>
  </si>
  <si>
    <t>kJ/g]]   </t>
  </si>
  <si>
    <t>kcal/g]]   </t>
  </si>
  <si>
    <t>BTU/lb   </t>
  </si>
  <si>
    <t>Natural Gas</t>
  </si>
  <si>
    <t xml:space="preserve">Heat of Combustion for some common </t>
  </si>
  <si>
    <t>fuels  (higher value)</t>
  </si>
  <si>
    <t>romatics</t>
  </si>
  <si>
    <t>References</t>
  </si>
  <si>
    <t>Air Quality Engineering, CE 218A, W. Nazaroff and R. Harley,</t>
  </si>
  <si>
    <t>University of California Berkeley, 2007</t>
  </si>
  <si>
    <t>NIST Chemistry WebBook</t>
  </si>
  <si>
    <t>http://en.wikipedia.org/wiki/Heat_of_combustion - wikipedia.com</t>
  </si>
  <si>
    <t>External Links</t>
  </si>
  <si>
    <t>ASTM Standard Testing</t>
  </si>
  <si>
    <t>This entry is from Wikipedia, the leading user-contributed encyclopedia. It may not have been reviewed by professional editors (see full disclaimer).</t>
  </si>
  <si>
    <t>NIST Chemistry</t>
  </si>
  <si>
    <t>[11]</t>
  </si>
  <si>
    <t>C5H12</t>
  </si>
  <si>
    <t>C6H14</t>
  </si>
  <si>
    <t>C7H16</t>
  </si>
  <si>
    <t>C9H20</t>
  </si>
  <si>
    <t>C10H22</t>
  </si>
  <si>
    <t>C11H24</t>
  </si>
  <si>
    <t>C12H26</t>
  </si>
  <si>
    <t>[12]</t>
  </si>
  <si>
    <t>CO2 (g)</t>
  </si>
  <si>
    <r>
      <t>kmol</t>
    </r>
    <r>
      <rPr>
        <b/>
        <vertAlign val="subscript"/>
        <sz val="11"/>
        <color indexed="8"/>
        <rFont val="Arial"/>
        <family val="2"/>
      </rPr>
      <t>i</t>
    </r>
    <r>
      <rPr>
        <b/>
        <sz val="11"/>
        <color indexed="8"/>
        <rFont val="Arial"/>
        <family val="2"/>
      </rPr>
      <t>/kmol</t>
    </r>
    <r>
      <rPr>
        <b/>
        <vertAlign val="subscript"/>
        <sz val="11"/>
        <color indexed="8"/>
        <rFont val="Arial"/>
        <family val="2"/>
      </rPr>
      <t>da</t>
    </r>
  </si>
  <si>
    <r>
      <t>kg</t>
    </r>
    <r>
      <rPr>
        <vertAlign val="subscript"/>
        <sz val="11"/>
        <color indexed="8"/>
        <rFont val="Arial"/>
        <family val="2"/>
      </rPr>
      <t>i</t>
    </r>
    <r>
      <rPr>
        <sz val="11"/>
        <color indexed="8"/>
        <rFont val="Arial"/>
        <family val="2"/>
      </rPr>
      <t>/kmol</t>
    </r>
    <r>
      <rPr>
        <vertAlign val="subscript"/>
        <sz val="11"/>
        <color indexed="8"/>
        <rFont val="Arial"/>
        <family val="2"/>
      </rPr>
      <t>i</t>
    </r>
  </si>
  <si>
    <r>
      <t>kg</t>
    </r>
    <r>
      <rPr>
        <vertAlign val="subscript"/>
        <sz val="11"/>
        <color indexed="8"/>
        <rFont val="Arial"/>
        <family val="2"/>
      </rPr>
      <t>i</t>
    </r>
    <r>
      <rPr>
        <sz val="11"/>
        <color indexed="8"/>
        <rFont val="Arial"/>
        <family val="2"/>
      </rPr>
      <t>/kmol</t>
    </r>
    <r>
      <rPr>
        <vertAlign val="subscript"/>
        <sz val="11"/>
        <color indexed="8"/>
        <rFont val="Arial"/>
        <family val="2"/>
      </rPr>
      <t>da</t>
    </r>
  </si>
  <si>
    <t xml:space="preserve">     No water is formed</t>
  </si>
  <si>
    <r>
      <t>Sulfur (</t>
    </r>
    <r>
      <rPr>
        <sz val="7.5"/>
        <color indexed="8"/>
        <rFont val="Arial"/>
        <family val="2"/>
      </rPr>
      <t>solid</t>
    </r>
    <r>
      <rPr>
        <sz val="11"/>
        <color indexed="8"/>
        <rFont val="Arial"/>
        <family val="2"/>
      </rPr>
      <t>)</t>
    </r>
  </si>
  <si>
    <r>
      <t>kJ/m</t>
    </r>
    <r>
      <rPr>
        <b/>
        <i/>
        <vertAlign val="superscript"/>
        <sz val="11"/>
        <color indexed="8"/>
        <rFont val="Arial"/>
        <family val="2"/>
      </rPr>
      <t>3</t>
    </r>
  </si>
  <si>
    <r>
      <t>Btu/ft</t>
    </r>
    <r>
      <rPr>
        <b/>
        <i/>
        <vertAlign val="superscript"/>
        <sz val="11"/>
        <color indexed="8"/>
        <rFont val="Arial"/>
        <family val="2"/>
      </rPr>
      <t>3</t>
    </r>
  </si>
  <si>
    <r>
      <t>Butane C</t>
    </r>
    <r>
      <rPr>
        <vertAlign val="subscript"/>
        <sz val="11"/>
        <color indexed="8"/>
        <rFont val="Arial"/>
        <family val="2"/>
      </rPr>
      <t>4</t>
    </r>
    <r>
      <rPr>
        <sz val="11"/>
        <color indexed="8"/>
        <rFont val="Arial"/>
        <family val="2"/>
      </rPr>
      <t>H</t>
    </r>
    <r>
      <rPr>
        <vertAlign val="subscript"/>
        <sz val="11"/>
        <color indexed="8"/>
        <rFont val="Arial"/>
        <family val="2"/>
      </rPr>
      <t>10</t>
    </r>
  </si>
  <si>
    <r>
      <t>Methane CH</t>
    </r>
    <r>
      <rPr>
        <vertAlign val="subscript"/>
        <sz val="11"/>
        <color indexed="8"/>
        <rFont val="Arial"/>
        <family val="2"/>
      </rPr>
      <t>4</t>
    </r>
  </si>
  <si>
    <r>
      <t>Propane C</t>
    </r>
    <r>
      <rPr>
        <vertAlign val="subscript"/>
        <sz val="11"/>
        <color indexed="8"/>
        <rFont val="Arial"/>
        <family val="2"/>
      </rPr>
      <t>3</t>
    </r>
    <r>
      <rPr>
        <sz val="11"/>
        <color indexed="8"/>
        <rFont val="Arial"/>
        <family val="2"/>
      </rPr>
      <t>H</t>
    </r>
    <r>
      <rPr>
        <vertAlign val="subscript"/>
        <sz val="11"/>
        <color indexed="8"/>
        <rFont val="Arial"/>
        <family val="2"/>
      </rPr>
      <t>8</t>
    </r>
  </si>
  <si>
    <r>
      <t>(</t>
    </r>
    <r>
      <rPr>
        <b/>
        <i/>
        <sz val="11"/>
        <color indexed="8"/>
        <rFont val="Arial"/>
        <family val="2"/>
      </rPr>
      <t>Btu/ft</t>
    </r>
    <r>
      <rPr>
        <b/>
        <i/>
        <vertAlign val="superscript"/>
        <sz val="11"/>
        <color indexed="8"/>
        <rFont val="Arial"/>
        <family val="2"/>
      </rPr>
      <t>3</t>
    </r>
    <r>
      <rPr>
        <b/>
        <sz val="11"/>
        <color indexed="8"/>
        <rFont val="Arial"/>
        <family val="2"/>
      </rPr>
      <t>)</t>
    </r>
  </si>
  <si>
    <r>
      <t>(</t>
    </r>
    <r>
      <rPr>
        <b/>
        <i/>
        <sz val="11"/>
        <color indexed="8"/>
        <rFont val="Arial"/>
        <family val="2"/>
      </rPr>
      <t>Btu/lb</t>
    </r>
    <r>
      <rPr>
        <b/>
        <sz val="11"/>
        <color indexed="8"/>
        <rFont val="Arial"/>
        <family val="2"/>
      </rPr>
      <t>)</t>
    </r>
  </si>
  <si>
    <r>
      <t>Acetylene (ethyne) - C</t>
    </r>
    <r>
      <rPr>
        <vertAlign val="subscript"/>
        <sz val="11"/>
        <color indexed="8"/>
        <rFont val="Arial"/>
        <family val="2"/>
      </rPr>
      <t>2</t>
    </r>
    <r>
      <rPr>
        <sz val="11"/>
        <color indexed="8"/>
        <rFont val="Arial"/>
        <family val="2"/>
      </rPr>
      <t>H</t>
    </r>
    <r>
      <rPr>
        <vertAlign val="subscript"/>
        <sz val="11"/>
        <color indexed="8"/>
        <rFont val="Arial"/>
        <family val="2"/>
      </rPr>
      <t>2</t>
    </r>
  </si>
  <si>
    <r>
      <t>Butane - C</t>
    </r>
    <r>
      <rPr>
        <vertAlign val="subscript"/>
        <sz val="11"/>
        <color indexed="8"/>
        <rFont val="Arial"/>
        <family val="2"/>
      </rPr>
      <t>4</t>
    </r>
    <r>
      <rPr>
        <sz val="11"/>
        <color indexed="8"/>
        <rFont val="Arial"/>
        <family val="2"/>
      </rPr>
      <t>H</t>
    </r>
    <r>
      <rPr>
        <vertAlign val="subscript"/>
        <sz val="11"/>
        <color indexed="8"/>
        <rFont val="Arial"/>
        <family val="2"/>
      </rPr>
      <t>10</t>
    </r>
  </si>
  <si>
    <r>
      <t>Carbon to CO</t>
    </r>
    <r>
      <rPr>
        <vertAlign val="subscript"/>
        <sz val="11"/>
        <color indexed="8"/>
        <rFont val="Arial"/>
        <family val="2"/>
      </rPr>
      <t>2</t>
    </r>
  </si>
  <si>
    <r>
      <t>Ethane - C</t>
    </r>
    <r>
      <rPr>
        <vertAlign val="subscript"/>
        <sz val="11"/>
        <color indexed="8"/>
        <rFont val="Arial"/>
        <family val="2"/>
      </rPr>
      <t>2</t>
    </r>
    <r>
      <rPr>
        <sz val="11"/>
        <color indexed="8"/>
        <rFont val="Arial"/>
        <family val="2"/>
      </rPr>
      <t>H</t>
    </r>
    <r>
      <rPr>
        <vertAlign val="subscript"/>
        <sz val="11"/>
        <color indexed="8"/>
        <rFont val="Arial"/>
        <family val="2"/>
      </rPr>
      <t>6</t>
    </r>
  </si>
  <si>
    <r>
      <t>Hydrogen (H</t>
    </r>
    <r>
      <rPr>
        <vertAlign val="subscript"/>
        <sz val="11"/>
        <color indexed="8"/>
        <rFont val="Arial"/>
        <family val="2"/>
      </rPr>
      <t>2</t>
    </r>
    <r>
      <rPr>
        <sz val="11"/>
        <color indexed="8"/>
        <rFont val="Arial"/>
        <family val="2"/>
      </rPr>
      <t>)</t>
    </r>
  </si>
  <si>
    <r>
      <t>Methane - CH</t>
    </r>
    <r>
      <rPr>
        <vertAlign val="subscript"/>
        <sz val="11"/>
        <color indexed="8"/>
        <rFont val="Arial"/>
        <family val="2"/>
      </rPr>
      <t>4</t>
    </r>
  </si>
  <si>
    <r>
      <t>Propane - C</t>
    </r>
    <r>
      <rPr>
        <vertAlign val="subscript"/>
        <sz val="11"/>
        <color indexed="8"/>
        <rFont val="Arial"/>
        <family val="2"/>
      </rPr>
      <t>3</t>
    </r>
    <r>
      <rPr>
        <sz val="11"/>
        <color indexed="8"/>
        <rFont val="Arial"/>
        <family val="2"/>
      </rPr>
      <t>H</t>
    </r>
    <r>
      <rPr>
        <vertAlign val="subscript"/>
        <sz val="11"/>
        <color indexed="8"/>
        <rFont val="Arial"/>
        <family val="2"/>
      </rPr>
      <t>8</t>
    </r>
  </si>
  <si>
    <r>
      <t>Propene (Propylene) - C</t>
    </r>
    <r>
      <rPr>
        <vertAlign val="subscript"/>
        <sz val="11"/>
        <color indexed="8"/>
        <rFont val="Arial"/>
        <family val="2"/>
      </rPr>
      <t>3</t>
    </r>
    <r>
      <rPr>
        <sz val="11"/>
        <color indexed="8"/>
        <rFont val="Arial"/>
        <family val="2"/>
      </rPr>
      <t>H</t>
    </r>
    <r>
      <rPr>
        <vertAlign val="subscript"/>
        <sz val="11"/>
        <color indexed="8"/>
        <rFont val="Arial"/>
        <family val="2"/>
      </rPr>
      <t>6</t>
    </r>
  </si>
  <si>
    <t>kCal/mol</t>
  </si>
  <si>
    <t>SO2 (g)</t>
  </si>
  <si>
    <t>Heat of formation Hc  [12]</t>
  </si>
  <si>
    <t>Hc</t>
  </si>
  <si>
    <t>at 25 ºC</t>
  </si>
  <si>
    <t>[12], page 2-188</t>
  </si>
  <si>
    <t>[12], page 2-194</t>
  </si>
  <si>
    <t>Carbon monox.</t>
  </si>
  <si>
    <t>Water</t>
  </si>
  <si>
    <t>Nirogen</t>
  </si>
  <si>
    <t>Oxygeb</t>
  </si>
  <si>
    <t>Sulfur dioxide</t>
  </si>
  <si>
    <t>Higher (HHV) and lower (LHV) heating values</t>
  </si>
  <si>
    <t>of some common fuels[4]</t>
  </si>
  <si>
    <t>HHV MJ/kg</t>
  </si>
  <si>
    <t>LHV MJ/kg</t>
  </si>
  <si>
    <t>http://nist.gov/data/PDFfiles/jpcrd628.pdf</t>
  </si>
  <si>
    <t>HHV</t>
  </si>
  <si>
    <t>Hidrogen sulfide</t>
  </si>
  <si>
    <t>Perry' Chemical Engineer's Hanbook</t>
  </si>
  <si>
    <t>[11] "NIST Chemistry WebBook". webbook.nist.gov</t>
  </si>
  <si>
    <t>(25 ºC)</t>
  </si>
  <si>
    <t xml:space="preserve"> Fuel    </t>
  </si>
  <si>
    <t>see also [4], Table A,9, page 699</t>
  </si>
  <si>
    <t>Enthalpy of gases at a  temperature</t>
  </si>
  <si>
    <t xml:space="preserve">Enthalpy of gases                                </t>
  </si>
  <si>
    <t>Input temperature in ºC</t>
  </si>
  <si>
    <t>Output enthlpy value  kJ/kmol</t>
  </si>
  <si>
    <t>Input temperature in K</t>
  </si>
  <si>
    <t xml:space="preserve">   EntH2OSI_TK </t>
  </si>
  <si>
    <t xml:space="preserve">   EntCO2SI_TK</t>
  </si>
  <si>
    <t xml:space="preserve">   EntN2SI_TK</t>
  </si>
  <si>
    <r>
      <t>t</t>
    </r>
    <r>
      <rPr>
        <sz val="11"/>
        <color theme="1"/>
        <rFont val="Calibri"/>
        <family val="2"/>
      </rPr>
      <t xml:space="preserve"> =</t>
    </r>
  </si>
  <si>
    <r>
      <t>T</t>
    </r>
    <r>
      <rPr>
        <sz val="11"/>
        <color theme="1"/>
        <rFont val="Calibri"/>
        <family val="2"/>
      </rPr>
      <t xml:space="preserve"> =</t>
    </r>
  </si>
  <si>
    <t xml:space="preserve">   EnthalpyH2OSI_tC </t>
  </si>
  <si>
    <t xml:space="preserve">   EnthalpyCO2SI_tC </t>
  </si>
  <si>
    <t xml:space="preserve">   EntO2SI_tC</t>
  </si>
  <si>
    <t xml:space="preserve">   EntO2SI_TK</t>
  </si>
  <si>
    <t xml:space="preserve">   EnthalpyO2SI_tC</t>
  </si>
  <si>
    <t xml:space="preserve">   EnthalpyN2SI_tC</t>
  </si>
  <si>
    <t>Input temperature in R</t>
  </si>
  <si>
    <t>Output enthlpy value  Btu/lbmol</t>
  </si>
  <si>
    <t xml:space="preserve">   EntH2OImp_TR</t>
  </si>
  <si>
    <t xml:space="preserve">   EntCO2Imp_TR</t>
  </si>
  <si>
    <t xml:space="preserve">   EntO2Imp_TR</t>
  </si>
  <si>
    <t xml:space="preserve">   EntN2Imp_TR</t>
  </si>
  <si>
    <r>
      <t xml:space="preserve">(h = 0 at  a temperature  </t>
    </r>
    <r>
      <rPr>
        <sz val="11"/>
        <color indexed="10"/>
        <rFont val="Calibri"/>
        <family val="2"/>
      </rPr>
      <t>0 K</t>
    </r>
    <r>
      <rPr>
        <sz val="11"/>
        <color theme="1"/>
        <rFont val="Calibri"/>
        <family val="2"/>
      </rPr>
      <t>)</t>
    </r>
  </si>
  <si>
    <r>
      <t xml:space="preserve">(h = 0 at  a temperature </t>
    </r>
    <r>
      <rPr>
        <sz val="11"/>
        <color indexed="10"/>
        <rFont val="Calibri"/>
        <family val="2"/>
      </rPr>
      <t>25 ºC</t>
    </r>
    <r>
      <rPr>
        <sz val="11"/>
        <color theme="1"/>
        <rFont val="Calibri"/>
        <family val="2"/>
      </rPr>
      <t>)</t>
    </r>
  </si>
  <si>
    <t>Output enthlpy value  kJ/kg</t>
  </si>
  <si>
    <t>Enthalpy of air at a  temperature</t>
  </si>
  <si>
    <r>
      <t>h</t>
    </r>
    <r>
      <rPr>
        <vertAlign val="subscript"/>
        <sz val="11"/>
        <color indexed="8"/>
        <rFont val="Calibri"/>
        <family val="2"/>
      </rPr>
      <t>air</t>
    </r>
    <r>
      <rPr>
        <sz val="11"/>
        <color theme="1"/>
        <rFont val="Calibri"/>
        <family val="2"/>
      </rPr>
      <t xml:space="preserve"> =</t>
    </r>
  </si>
  <si>
    <t>A2</t>
  </si>
  <si>
    <t xml:space="preserve"> EntAirSI_tC            </t>
  </si>
  <si>
    <t>A3</t>
  </si>
  <si>
    <t>A3.-  EntAirSI_TK              Reference 0 [K]</t>
  </si>
  <si>
    <t>EntAirSI_TK</t>
  </si>
  <si>
    <t>A1</t>
  </si>
  <si>
    <t>EnthAirSI_tc</t>
  </si>
  <si>
    <r>
      <t xml:space="preserve">(h = 0 at  a temperature  </t>
    </r>
    <r>
      <rPr>
        <sz val="11"/>
        <color indexed="10"/>
        <rFont val="Calibri"/>
        <family val="2"/>
      </rPr>
      <t>0 R</t>
    </r>
    <r>
      <rPr>
        <sz val="11"/>
        <color theme="1"/>
        <rFont val="Calibri"/>
        <family val="2"/>
      </rPr>
      <t>)</t>
    </r>
  </si>
  <si>
    <t xml:space="preserve"> EntAirImp_TR </t>
  </si>
  <si>
    <t>A4</t>
  </si>
  <si>
    <t>E1</t>
  </si>
  <si>
    <t>E4</t>
  </si>
  <si>
    <t>E3</t>
  </si>
  <si>
    <t>E2</t>
  </si>
  <si>
    <t>B2</t>
  </si>
  <si>
    <t>B3</t>
  </si>
  <si>
    <t>B1</t>
  </si>
  <si>
    <t>B4</t>
  </si>
  <si>
    <t>D2</t>
  </si>
  <si>
    <t>D1</t>
  </si>
  <si>
    <t>D3</t>
  </si>
  <si>
    <t>D4</t>
  </si>
  <si>
    <t>C2</t>
  </si>
  <si>
    <t>C3</t>
  </si>
  <si>
    <t>C1</t>
  </si>
  <si>
    <t>Application of functions for the enthalpy gases</t>
  </si>
  <si>
    <t>rev.cjc.28.11.2017</t>
  </si>
  <si>
    <t>A4.-  EntAirImp_TR          Reference 0 [R]</t>
  </si>
  <si>
    <t>D4.-  EntO2Imp_TR           Reference 0 [R]</t>
  </si>
  <si>
    <t>A. Enthalpy of air</t>
  </si>
  <si>
    <t>A2.-  EntAirSI_tC              Reference 0 [K]</t>
  </si>
  <si>
    <t>B. Enthalpy of Carbon dioxide</t>
  </si>
  <si>
    <t>C. Enthalpy of nitrogen</t>
  </si>
  <si>
    <t>D. Enthalpy of oxigen</t>
  </si>
  <si>
    <t>D2.-  EntO2SI_tC               Reference 0 [K]</t>
  </si>
  <si>
    <t>D3.-  EntO2SI_TK               Reference 0 [K]</t>
  </si>
  <si>
    <t>E. Enthalpy of water vapor</t>
  </si>
  <si>
    <t>B1.-  EnthCO2SI_tC         Reference 25 [ºC]</t>
  </si>
  <si>
    <t>B2.-  EntCO2SI_tC           Reference 0 [K]</t>
  </si>
  <si>
    <t>B3.-  EntCO2SI_TK           Reference 0 [K]</t>
  </si>
  <si>
    <t>B4.-  EntCO2Imp_TR       Reference 0 [R]</t>
  </si>
  <si>
    <t>A1.-  EnthAirSI_tc            Reference 25 [ºC]</t>
  </si>
  <si>
    <t>C1.-  EnthN2SI_tc            Reference 25 [ºC]</t>
  </si>
  <si>
    <t>C2.-  EntN2SI_tC             Reference 0 [K]</t>
  </si>
  <si>
    <t>C3.-  EntN2SI_TK             Reference 0 [K]</t>
  </si>
  <si>
    <t>C4.-  EntN2Imp_TR         Reference 0 [R]</t>
  </si>
  <si>
    <t>D1.-  EnthO2SI_tc             Reference 25 [ºC]</t>
  </si>
  <si>
    <t>E1.-  EnthH2OSI_tC           Reference 25 [ºC]</t>
  </si>
  <si>
    <t>E2.-  EntH2OSI_tC             Reference 0 [K]</t>
  </si>
  <si>
    <t>E3.-  EntH2OSI_TK            Reference 0 [K]</t>
  </si>
  <si>
    <t>E4.-  EntH2OImp_TR        Reference 0 [R]</t>
  </si>
  <si>
    <t>[10] Gas Tables, Keenan and Kayes</t>
  </si>
  <si>
    <t>Gas data [11]</t>
  </si>
  <si>
    <t>Constants</t>
  </si>
  <si>
    <r>
      <t>Rg / M</t>
    </r>
    <r>
      <rPr>
        <vertAlign val="subscript"/>
        <sz val="10"/>
        <rFont val="Arial"/>
        <family val="2"/>
      </rPr>
      <t>air</t>
    </r>
  </si>
  <si>
    <t>Carbon dioxide(CO2)</t>
  </si>
  <si>
    <t>Gas [5]</t>
  </si>
  <si>
    <r>
      <t>M</t>
    </r>
    <r>
      <rPr>
        <vertAlign val="subscript"/>
        <sz val="10"/>
        <rFont val="Arial"/>
        <family val="2"/>
      </rPr>
      <t>da</t>
    </r>
    <r>
      <rPr>
        <sz val="10"/>
        <rFont val="Arial"/>
        <family val="2"/>
      </rPr>
      <t xml:space="preserve">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</si>
</sst>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00"/>
    <numFmt numFmtId="165" formatCode="0.0000"/>
    <numFmt numFmtId="166" formatCode="0.0"/>
    <numFmt numFmtId="167" formatCode="0.00000"/>
    <numFmt numFmtId="168" formatCode="0.000_)"/>
    <numFmt numFmtId="169" formatCode="0.00_)"/>
    <numFmt numFmtId="170" formatCode="0_)"/>
    <numFmt numFmtId="171" formatCode="0.00000_)"/>
    <numFmt numFmtId="172" formatCode="0.000000"/>
    <numFmt numFmtId="173" formatCode="#,##0.0"/>
    <numFmt numFmtId="174" formatCode="0E+00"/>
  </numFmts>
  <fonts count="84">
    <font>
      <sz val="11"/>
      <color theme="1"/>
      <name val="Calibri"/>
      <family val="2"/>
    </font>
    <font>
      <sz val="11"/>
      <color indexed="8"/>
      <name val="Calibri"/>
      <family val="2"/>
    </font>
    <font>
      <vertAlign val="subscript"/>
      <sz val="10"/>
      <name val="Arial"/>
      <family val="2"/>
    </font>
    <font>
      <sz val="10"/>
      <name val="Arial"/>
      <family val="2"/>
    </font>
    <font>
      <b/>
      <sz val="10"/>
      <name val="Arial"/>
      <family val="2"/>
    </font>
    <font>
      <sz val="8"/>
      <name val="Arial"/>
      <family val="2"/>
    </font>
    <font>
      <sz val="8"/>
      <color indexed="40"/>
      <name val="Calibri"/>
      <family val="2"/>
    </font>
    <font>
      <sz val="10"/>
      <color indexed="8"/>
      <name val="Arial"/>
      <family val="2"/>
    </font>
    <font>
      <b/>
      <sz val="10"/>
      <color indexed="40"/>
      <name val="Arial"/>
      <family val="2"/>
    </font>
    <font>
      <u val="single"/>
      <sz val="10"/>
      <color indexed="30"/>
      <name val="Arial"/>
      <family val="2"/>
    </font>
    <font>
      <sz val="8"/>
      <color indexed="8"/>
      <name val="Arial"/>
      <family val="2"/>
    </font>
    <font>
      <vertAlign val="subscript"/>
      <sz val="11"/>
      <color indexed="8"/>
      <name val="Calibri"/>
      <family val="2"/>
    </font>
    <font>
      <b/>
      <sz val="11"/>
      <color indexed="40"/>
      <name val="Calibri"/>
      <family val="2"/>
    </font>
    <font>
      <b/>
      <sz val="11"/>
      <color indexed="8"/>
      <name val="Calibri"/>
      <family val="2"/>
    </font>
    <font>
      <b/>
      <sz val="18"/>
      <color indexed="8"/>
      <name val="Calibri"/>
      <family val="2"/>
    </font>
    <font>
      <sz val="7.5"/>
      <color indexed="8"/>
      <name val="Calibri"/>
      <family val="2"/>
    </font>
    <font>
      <sz val="11"/>
      <color indexed="8"/>
      <name val="Arial"/>
      <family val="2"/>
    </font>
    <font>
      <i/>
      <sz val="11"/>
      <color indexed="8"/>
      <name val="Arial"/>
      <family val="2"/>
    </font>
    <font>
      <vertAlign val="subscript"/>
      <sz val="10"/>
      <color indexed="8"/>
      <name val="Arial"/>
      <family val="2"/>
    </font>
    <font>
      <sz val="9"/>
      <color indexed="8"/>
      <name val="Arial"/>
      <family val="2"/>
    </font>
    <font>
      <sz val="9"/>
      <color indexed="8"/>
      <name val="Calibri"/>
      <family val="2"/>
    </font>
    <font>
      <sz val="11"/>
      <color indexed="10"/>
      <name val="Calibri"/>
      <family val="2"/>
    </font>
    <font>
      <sz val="8"/>
      <color indexed="8"/>
      <name val="Calibri"/>
      <family val="2"/>
    </font>
    <font>
      <sz val="10"/>
      <color indexed="8"/>
      <name val="Calibri"/>
      <family val="2"/>
    </font>
    <font>
      <vertAlign val="subscript"/>
      <sz val="11"/>
      <color indexed="8"/>
      <name val="Arial"/>
      <family val="2"/>
    </font>
    <font>
      <sz val="11"/>
      <color indexed="20"/>
      <name val="Calibri"/>
      <family val="2"/>
    </font>
    <font>
      <b/>
      <sz val="7.5"/>
      <color indexed="8"/>
      <name val="Calibri"/>
      <family val="2"/>
    </font>
    <font>
      <vertAlign val="superscript"/>
      <sz val="11"/>
      <color indexed="8"/>
      <name val="Calibri"/>
      <family val="2"/>
    </font>
    <font>
      <b/>
      <sz val="24"/>
      <color indexed="8"/>
      <name val="Calibri"/>
      <family val="2"/>
    </font>
    <font>
      <b/>
      <sz val="11"/>
      <color indexed="8"/>
      <name val="Arial"/>
      <family val="2"/>
    </font>
    <font>
      <b/>
      <vertAlign val="subscript"/>
      <sz val="11"/>
      <color indexed="8"/>
      <name val="Arial"/>
      <family val="2"/>
    </font>
    <font>
      <b/>
      <sz val="18"/>
      <color indexed="8"/>
      <name val="Arial"/>
      <family val="2"/>
    </font>
    <font>
      <sz val="7.5"/>
      <color indexed="8"/>
      <name val="Arial"/>
      <family val="2"/>
    </font>
    <font>
      <b/>
      <i/>
      <sz val="11"/>
      <color indexed="8"/>
      <name val="Arial"/>
      <family val="2"/>
    </font>
    <font>
      <b/>
      <i/>
      <vertAlign val="superscript"/>
      <sz val="11"/>
      <color indexed="8"/>
      <name val="Arial"/>
      <family val="2"/>
    </font>
    <font>
      <b/>
      <sz val="12"/>
      <color indexed="40"/>
      <name val="Calibri"/>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rgb="FF00B0F0"/>
      <name val="Calibri"/>
      <family val="2"/>
    </font>
    <font>
      <b/>
      <sz val="18"/>
      <color theme="1"/>
      <name val="Calibri"/>
      <family val="2"/>
    </font>
    <font>
      <sz val="11"/>
      <color theme="1"/>
      <name val="Arial"/>
      <family val="2"/>
    </font>
    <font>
      <sz val="8"/>
      <color theme="1"/>
      <name val="Arial"/>
      <family val="2"/>
    </font>
    <font>
      <sz val="10"/>
      <color theme="1"/>
      <name val="Arial"/>
      <family val="2"/>
    </font>
    <font>
      <b/>
      <sz val="10"/>
      <color rgb="FF00B0F0"/>
      <name val="Arial"/>
      <family val="2"/>
    </font>
    <font>
      <sz val="9"/>
      <color theme="1"/>
      <name val="Arial"/>
      <family val="2"/>
    </font>
    <font>
      <sz val="8"/>
      <color theme="1"/>
      <name val="Calibri"/>
      <family val="2"/>
    </font>
    <font>
      <b/>
      <sz val="7.5"/>
      <color theme="1"/>
      <name val="Calibri"/>
      <family val="2"/>
    </font>
    <font>
      <sz val="10"/>
      <color theme="1"/>
      <name val="Calibri"/>
      <family val="2"/>
    </font>
    <font>
      <b/>
      <sz val="24"/>
      <color theme="1"/>
      <name val="Calibri"/>
      <family val="2"/>
    </font>
    <font>
      <b/>
      <sz val="11"/>
      <color theme="1"/>
      <name val="Arial"/>
      <family val="2"/>
    </font>
    <font>
      <b/>
      <sz val="18"/>
      <color theme="1"/>
      <name val="Arial"/>
      <family val="2"/>
    </font>
    <font>
      <b/>
      <i/>
      <sz val="11"/>
      <color theme="1"/>
      <name val="Arial"/>
      <family val="2"/>
    </font>
    <font>
      <sz val="9"/>
      <color theme="1"/>
      <name val="Calibri"/>
      <family val="2"/>
    </font>
    <font>
      <b/>
      <sz val="11"/>
      <color rgb="FF00B0F0"/>
      <name val="Calibri"/>
      <family val="2"/>
    </font>
    <font>
      <b/>
      <sz val="12"/>
      <color rgb="FF00B0F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B0F0"/>
      </left>
      <right/>
      <top/>
      <bottom/>
    </border>
    <border>
      <left style="thin">
        <color rgb="FF00B0F0"/>
      </left>
      <right/>
      <top/>
      <bottom style="thin">
        <color rgb="FF00B0F0"/>
      </bottom>
    </border>
    <border>
      <left/>
      <right style="thin">
        <color rgb="FF00B0F0"/>
      </right>
      <top/>
      <bottom/>
    </border>
    <border>
      <left/>
      <right/>
      <top style="thin">
        <color rgb="FF00B0F0"/>
      </top>
      <bottom/>
    </border>
    <border>
      <left/>
      <right style="thin">
        <color rgb="FF00B0F0"/>
      </right>
      <top style="thin">
        <color rgb="FF00B0F0"/>
      </top>
      <bottom/>
    </border>
    <border>
      <left style="thin">
        <color rgb="FF00B0F0"/>
      </left>
      <right style="thin">
        <color rgb="FF00B0F0"/>
      </right>
      <top style="thin">
        <color rgb="FF00B0F0"/>
      </top>
      <bottom style="thin">
        <color rgb="FF00B0F0"/>
      </bottom>
    </border>
    <border>
      <left/>
      <right/>
      <top style="medium">
        <color rgb="FF00B0F0"/>
      </top>
      <bottom/>
    </border>
    <border>
      <left style="thin">
        <color rgb="FF00B0F0"/>
      </left>
      <right style="thin">
        <color rgb="FF00B0F0"/>
      </right>
      <top/>
      <bottom style="thin">
        <color rgb="FF00B0F0"/>
      </bottom>
    </border>
    <border>
      <left style="thin">
        <color rgb="FF00B0F0"/>
      </left>
      <right style="thin">
        <color rgb="FF00B0F0"/>
      </right>
      <top style="thin">
        <color rgb="FF00B0F0"/>
      </top>
      <bottom/>
    </border>
    <border>
      <left style="thin">
        <color rgb="FF00B0F0"/>
      </left>
      <right/>
      <top style="thin">
        <color rgb="FF00B0F0"/>
      </top>
      <bottom/>
    </border>
    <border>
      <left style="thin">
        <color rgb="FF000000"/>
      </left>
      <right style="thin">
        <color rgb="FF000000"/>
      </right>
      <top style="thin">
        <color rgb="FF000000"/>
      </top>
      <bottom style="thin">
        <color rgb="FF000000"/>
      </bottom>
    </border>
    <border>
      <left/>
      <right style="thin">
        <color rgb="FF000000"/>
      </right>
      <top/>
      <bottom/>
    </border>
    <border>
      <left/>
      <right/>
      <top style="thick">
        <color rgb="FF00B0F0"/>
      </top>
      <bottom/>
    </border>
    <border>
      <left/>
      <right/>
      <top/>
      <bottom style="thick">
        <color rgb="FF00B0F0"/>
      </bottom>
    </border>
    <border>
      <left/>
      <right/>
      <top style="thin">
        <color rgb="FF00B0F0"/>
      </top>
      <bottom style="thin">
        <color rgb="FF00B0F0"/>
      </bottom>
    </border>
    <border>
      <left style="medium">
        <color rgb="FF00B0F0"/>
      </left>
      <right/>
      <top/>
      <bottom/>
    </border>
    <border>
      <left/>
      <right/>
      <top/>
      <bottom style="medium">
        <color rgb="FF00B0F0"/>
      </bottom>
    </border>
    <border>
      <left/>
      <right style="medium">
        <color rgb="FF00B0F0"/>
      </right>
      <top/>
      <bottom/>
    </border>
    <border>
      <left style="double">
        <color rgb="FF00B0F0"/>
      </left>
      <right/>
      <top/>
      <bottom/>
    </border>
    <border>
      <left style="double">
        <color rgb="FF00B0F0"/>
      </left>
      <right/>
      <top style="double">
        <color rgb="FF00B0F0"/>
      </top>
      <bottom/>
    </border>
    <border>
      <left/>
      <right/>
      <top style="double">
        <color rgb="FF00B0F0"/>
      </top>
      <bottom/>
    </border>
    <border>
      <left style="double">
        <color rgb="FF00B0F0"/>
      </left>
      <right/>
      <top/>
      <bottom style="double">
        <color rgb="FF00B0F0"/>
      </bottom>
    </border>
    <border>
      <left/>
      <right/>
      <top/>
      <bottom style="double">
        <color rgb="FF00B0F0"/>
      </bottom>
    </border>
    <border>
      <left/>
      <right/>
      <top/>
      <bottom style="thin">
        <color rgb="FF00B0F0"/>
      </bottom>
    </border>
    <border>
      <left/>
      <right style="thin">
        <color rgb="FF00B0F0"/>
      </right>
      <top/>
      <bottom style="thin">
        <color rgb="FF00B0F0"/>
      </bottom>
    </border>
    <border>
      <left style="medium">
        <color rgb="FF00B0F0"/>
      </left>
      <right style="thin">
        <color rgb="FF00B0F0"/>
      </right>
      <top style="thin">
        <color rgb="FF00B0F0"/>
      </top>
      <bottom style="thin">
        <color rgb="FF00B0F0"/>
      </bottom>
    </border>
    <border>
      <left style="medium">
        <color rgb="FF00B0F0"/>
      </left>
      <right/>
      <top style="medium">
        <color rgb="FF00B0F0"/>
      </top>
      <bottom/>
    </border>
    <border>
      <left style="thin">
        <color rgb="FF00B0F0"/>
      </left>
      <right style="thin">
        <color rgb="FF00B0F0"/>
      </right>
      <top style="medium">
        <color rgb="FF00B0F0"/>
      </top>
      <bottom style="thin">
        <color rgb="FF00B0F0"/>
      </bottom>
    </border>
    <border>
      <left style="medium">
        <color rgb="FF00B0F0"/>
      </left>
      <right style="thin">
        <color rgb="FF00B0F0"/>
      </right>
      <top style="thin">
        <color rgb="FF00B0F0"/>
      </top>
      <bottom style="medium">
        <color rgb="FF00B0F0"/>
      </bottom>
    </border>
    <border>
      <left style="thin">
        <color rgb="FF00B0F0"/>
      </left>
      <right style="thin">
        <color rgb="FF00B0F0"/>
      </right>
      <top style="thin">
        <color rgb="FF00B0F0"/>
      </top>
      <bottom style="medium">
        <color rgb="FF00B0F0"/>
      </bottom>
    </border>
    <border>
      <left/>
      <right style="medium">
        <color rgb="FF00B0F0"/>
      </right>
      <top style="medium">
        <color rgb="FF00B0F0"/>
      </top>
      <bottom/>
    </border>
    <border>
      <left style="thin">
        <color rgb="FF00B0F0"/>
      </left>
      <right style="medium">
        <color rgb="FF00B0F0"/>
      </right>
      <top style="thin">
        <color rgb="FF00B0F0"/>
      </top>
      <bottom style="thin">
        <color rgb="FF00B0F0"/>
      </bottom>
    </border>
    <border>
      <left style="thin">
        <color rgb="FF00B0F0"/>
      </left>
      <right style="medium">
        <color rgb="FF00B0F0"/>
      </right>
      <top style="thin">
        <color rgb="FF00B0F0"/>
      </top>
      <bottom style="medium">
        <color rgb="FF00B0F0"/>
      </bottom>
    </border>
    <border>
      <left style="medium">
        <color rgb="FF00B0F0"/>
      </left>
      <right/>
      <top style="medium">
        <color rgb="FF00B0F0"/>
      </top>
      <bottom style="medium">
        <color rgb="FF00B0F0"/>
      </bottom>
    </border>
    <border>
      <left/>
      <right/>
      <top style="medium">
        <color rgb="FF00B0F0"/>
      </top>
      <bottom style="medium">
        <color rgb="FF00B0F0"/>
      </bottom>
    </border>
    <border>
      <left/>
      <right style="medium">
        <color rgb="FF00B0F0"/>
      </right>
      <top style="medium">
        <color rgb="FF00B0F0"/>
      </top>
      <bottom style="medium">
        <color rgb="FF00B0F0"/>
      </bottom>
    </border>
    <border>
      <left style="thin"/>
      <right/>
      <top style="medium">
        <color rgb="FF00B0F0"/>
      </top>
      <bottom/>
    </border>
    <border>
      <left/>
      <right style="thin"/>
      <top style="medium">
        <color rgb="FF00B0F0"/>
      </top>
      <bottom/>
    </border>
    <border>
      <left style="thin">
        <color rgb="FF00B0F0"/>
      </left>
      <right style="thin">
        <color rgb="FF00B0F0"/>
      </right>
      <top/>
      <bottom style="medium">
        <color rgb="FF00B0F0"/>
      </bottom>
    </border>
    <border>
      <left style="medium">
        <color rgb="FF00B0F0"/>
      </left>
      <right style="thin">
        <color rgb="FF00B0F0"/>
      </right>
      <top style="medium">
        <color rgb="FF00B0F0"/>
      </top>
      <bottom style="medium">
        <color rgb="FF00B0F0"/>
      </bottom>
    </border>
    <border>
      <left style="thin">
        <color rgb="FF00B0F0"/>
      </left>
      <right style="thin">
        <color rgb="FF00B0F0"/>
      </right>
      <top style="medium">
        <color rgb="FF00B0F0"/>
      </top>
      <bottom style="medium">
        <color rgb="FF00B0F0"/>
      </bottom>
    </border>
    <border>
      <left style="thin">
        <color rgb="FF00B0F0"/>
      </left>
      <right style="medium">
        <color rgb="FF00B0F0"/>
      </right>
      <top style="medium">
        <color rgb="FF00B0F0"/>
      </top>
      <bottom style="medium">
        <color rgb="FF00B0F0"/>
      </bottom>
    </border>
    <border>
      <left style="medium">
        <color rgb="FF00B0F0"/>
      </left>
      <right style="thin">
        <color rgb="FF00B0F0"/>
      </right>
      <top/>
      <bottom style="thin">
        <color rgb="FF00B0F0"/>
      </bottom>
    </border>
    <border>
      <left style="thin">
        <color rgb="FF00B0F0"/>
      </left>
      <right style="medium">
        <color rgb="FF00B0F0"/>
      </right>
      <top style="medium">
        <color rgb="FF00B0F0"/>
      </top>
      <bottom style="thin">
        <color rgb="FF00B0F0"/>
      </bottom>
    </border>
    <border>
      <left style="thin">
        <color rgb="FF00B0F0"/>
      </left>
      <right style="medium">
        <color rgb="FF00B0F0"/>
      </right>
      <top/>
      <bottom style="thin">
        <color rgb="FF00B0F0"/>
      </bottom>
    </border>
    <border>
      <left style="medium">
        <color rgb="FF00B0F0"/>
      </left>
      <right/>
      <top/>
      <bottom style="medium">
        <color rgb="FF00B0F0"/>
      </bottom>
    </border>
    <border>
      <left/>
      <right style="medium">
        <color rgb="FF00B0F0"/>
      </right>
      <top/>
      <bottom style="medium">
        <color rgb="FF00B0F0"/>
      </bottom>
    </border>
    <border>
      <left/>
      <right style="thin">
        <color rgb="FF00B0F0"/>
      </right>
      <top style="thin">
        <color rgb="FF00B0F0"/>
      </top>
      <bottom style="thin">
        <color rgb="FF00B0F0"/>
      </bottom>
    </border>
    <border>
      <left style="thin">
        <color rgb="FF00B0F0"/>
      </left>
      <right/>
      <top style="thin">
        <color rgb="FF00B0F0"/>
      </top>
      <bottom style="thin">
        <color rgb="FF00B0F0"/>
      </bottom>
    </border>
    <border>
      <left/>
      <right style="thick">
        <color rgb="FF00B0F0"/>
      </right>
      <top style="thick">
        <color rgb="FF00B0F0"/>
      </top>
      <bottom style="thick">
        <color rgb="FF00B0F0"/>
      </bottom>
    </border>
    <border>
      <left style="thick">
        <color rgb="FF00B0F0"/>
      </left>
      <right/>
      <top style="thick">
        <color rgb="FF00B0F0"/>
      </top>
      <bottom style="thick">
        <color rgb="FF00B0F0"/>
      </bottom>
    </border>
    <border>
      <left/>
      <right/>
      <top style="thick">
        <color rgb="FF00B0F0"/>
      </top>
      <bottom style="thick">
        <color rgb="FF00B0F0"/>
      </bottom>
    </border>
    <border>
      <left/>
      <right style="double">
        <color rgb="FF00B0F0"/>
      </right>
      <top style="double">
        <color rgb="FF00B0F0"/>
      </top>
      <bottom/>
    </border>
    <border>
      <left/>
      <right style="double">
        <color rgb="FF00B0F0"/>
      </right>
      <top/>
      <bottom/>
    </border>
    <border>
      <left/>
      <right style="double">
        <color rgb="FF00B0F0"/>
      </right>
      <top/>
      <bottom style="double">
        <color rgb="FF00B0F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border>
    <border>
      <left style="medium">
        <color rgb="FF00B0F0"/>
      </left>
      <right/>
      <top style="thin">
        <color rgb="FF00B0F0"/>
      </top>
      <bottom/>
    </border>
    <border>
      <left style="thin">
        <color rgb="FF000000"/>
      </left>
      <right style="thin">
        <color rgb="FF000000"/>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ck">
        <color rgb="FF00B0F0"/>
      </left>
      <right/>
      <top style="thick">
        <color rgb="FF00B0F0"/>
      </top>
      <bottom/>
    </border>
    <border>
      <left/>
      <right style="thick">
        <color rgb="FF00B0F0"/>
      </right>
      <top style="thick">
        <color rgb="FF00B0F0"/>
      </top>
      <bottom/>
    </border>
    <border>
      <left style="thick">
        <color rgb="FF00B0F0"/>
      </left>
      <right/>
      <top/>
      <bottom style="thick">
        <color rgb="FF00B0F0"/>
      </bottom>
    </border>
    <border>
      <left/>
      <right style="thick">
        <color rgb="FF00B0F0"/>
      </right>
      <top/>
      <bottom style="thick">
        <color rgb="FF00B0F0"/>
      </bottom>
    </border>
    <border>
      <left style="thin">
        <color rgb="FF00B0F0"/>
      </left>
      <right style="thin">
        <color rgb="FF00B0F0"/>
      </right>
      <top/>
      <bottom/>
    </border>
    <border>
      <left/>
      <right style="medium">
        <color rgb="FF00B0F0"/>
      </right>
      <top style="medium">
        <color rgb="FF00B0F0"/>
      </top>
      <bottom style="thin">
        <color rgb="FF00B0F0"/>
      </bottom>
    </border>
    <border>
      <left style="medium">
        <color rgb="FF00B0F0"/>
      </left>
      <right/>
      <top style="medium">
        <color rgb="FF00B0F0"/>
      </top>
      <bottom style="thin">
        <color rgb="FF00B0F0"/>
      </bottom>
    </border>
    <border>
      <left/>
      <right style="medium">
        <color rgb="FF00B0F0"/>
      </right>
      <top style="thin">
        <color rgb="FF00B0F0"/>
      </top>
      <bottom/>
    </border>
    <border>
      <left style="medium">
        <color rgb="FF00B0F0"/>
      </left>
      <right/>
      <top style="thin">
        <color rgb="FF00B0F0"/>
      </top>
      <bottom style="thin">
        <color rgb="FF00B0F0"/>
      </bottom>
    </border>
    <border>
      <left style="medium">
        <color rgb="FF00B0F0"/>
      </left>
      <right/>
      <top style="thin">
        <color rgb="FF00B0F0"/>
      </top>
      <bottom style="medium">
        <color rgb="FF00B0F0"/>
      </bottom>
    </border>
    <border>
      <left style="medium">
        <color rgb="FF00B0F0"/>
      </left>
      <right style="thin">
        <color rgb="FF00B0F0"/>
      </right>
      <top style="medium">
        <color rgb="FF00B0F0"/>
      </top>
      <bottom style="thin">
        <color rgb="FF00B0F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51">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3" fillId="0" borderId="0" xfId="0" applyFont="1" applyFill="1" applyAlignment="1">
      <alignment/>
    </xf>
    <xf numFmtId="0" fontId="3" fillId="0" borderId="0" xfId="0" applyFont="1" applyFill="1" applyBorder="1" applyAlignment="1">
      <alignmen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0" xfId="0" applyFont="1" applyAlignment="1">
      <alignment/>
    </xf>
    <xf numFmtId="0" fontId="66" fillId="0" borderId="0" xfId="0" applyFont="1" applyAlignment="1">
      <alignment horizontal="center"/>
    </xf>
    <xf numFmtId="0" fontId="3" fillId="0" borderId="12" xfId="0" applyFont="1" applyFill="1" applyBorder="1" applyAlignment="1">
      <alignment/>
    </xf>
    <xf numFmtId="0" fontId="3" fillId="0" borderId="0" xfId="0" applyFont="1" applyFill="1" applyBorder="1" applyAlignment="1">
      <alignment horizontal="center"/>
    </xf>
    <xf numFmtId="0" fontId="0" fillId="0" borderId="13" xfId="0" applyBorder="1" applyAlignment="1">
      <alignment/>
    </xf>
    <xf numFmtId="0" fontId="7" fillId="0" borderId="0" xfId="0" applyFont="1" applyFill="1" applyBorder="1" applyAlignment="1" applyProtection="1">
      <alignment horizontal="center"/>
      <protection/>
    </xf>
    <xf numFmtId="0" fontId="7" fillId="0" borderId="0" xfId="0" applyFont="1" applyFill="1" applyBorder="1" applyAlignment="1">
      <alignment horizontal="center"/>
    </xf>
    <xf numFmtId="0" fontId="3" fillId="0" borderId="14" xfId="0" applyFont="1" applyFill="1" applyBorder="1" applyAlignment="1">
      <alignment/>
    </xf>
    <xf numFmtId="0" fontId="3" fillId="0" borderId="13" xfId="0" applyFont="1" applyFill="1" applyBorder="1" applyAlignment="1">
      <alignment/>
    </xf>
    <xf numFmtId="0" fontId="3" fillId="0" borderId="15" xfId="0" applyFont="1" applyFill="1" applyBorder="1" applyAlignment="1">
      <alignment horizontal="center"/>
    </xf>
    <xf numFmtId="0" fontId="5" fillId="0" borderId="12" xfId="0" applyFont="1" applyFill="1" applyBorder="1" applyAlignment="1">
      <alignment/>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pplyProtection="1">
      <alignment horizontal="left"/>
      <protection/>
    </xf>
    <xf numFmtId="0" fontId="3" fillId="0" borderId="15"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11" fontId="3" fillId="0" borderId="0" xfId="0" applyNumberFormat="1" applyFont="1" applyFill="1" applyBorder="1" applyAlignment="1">
      <alignment horizontal="center"/>
    </xf>
    <xf numFmtId="0" fontId="3" fillId="0" borderId="19" xfId="0" applyFont="1" applyFill="1" applyBorder="1" applyAlignment="1">
      <alignment/>
    </xf>
    <xf numFmtId="0" fontId="3" fillId="0" borderId="20" xfId="0" applyFont="1" applyFill="1" applyBorder="1" applyAlignment="1">
      <alignment vertical="center" wrapText="1"/>
    </xf>
    <xf numFmtId="0" fontId="3" fillId="0" borderId="20" xfId="0" applyFont="1" applyFill="1" applyBorder="1" applyAlignment="1">
      <alignment horizontal="center" vertical="center" wrapText="1"/>
    </xf>
    <xf numFmtId="0" fontId="58" fillId="0" borderId="0" xfId="51" applyFont="1" applyFill="1" applyAlignment="1">
      <alignment/>
    </xf>
    <xf numFmtId="0" fontId="67" fillId="0" borderId="0" xfId="0" applyFont="1" applyAlignment="1">
      <alignment vertical="center"/>
    </xf>
    <xf numFmtId="0" fontId="64" fillId="0" borderId="20" xfId="0"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xf>
    <xf numFmtId="0" fontId="3" fillId="0" borderId="22" xfId="0" applyFont="1" applyFill="1" applyBorder="1" applyAlignment="1">
      <alignment vertical="center"/>
    </xf>
    <xf numFmtId="3" fontId="3" fillId="0" borderId="22" xfId="0" applyNumberFormat="1" applyFont="1" applyFill="1" applyBorder="1" applyAlignment="1">
      <alignment vertical="center"/>
    </xf>
    <xf numFmtId="0" fontId="68" fillId="0" borderId="22" xfId="0" applyFont="1" applyBorder="1" applyAlignment="1">
      <alignment horizontal="center" vertical="center" wrapText="1"/>
    </xf>
    <xf numFmtId="0" fontId="3" fillId="0" borderId="23" xfId="0" applyFont="1" applyFill="1" applyBorder="1" applyAlignment="1">
      <alignment vertical="center"/>
    </xf>
    <xf numFmtId="0" fontId="0" fillId="0" borderId="14" xfId="0" applyBorder="1" applyAlignment="1">
      <alignment/>
    </xf>
    <xf numFmtId="0" fontId="0" fillId="0" borderId="24" xfId="0"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horizont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69" fillId="32" borderId="15" xfId="0" applyFont="1" applyFill="1" applyBorder="1" applyAlignment="1">
      <alignment horizontal="center"/>
    </xf>
    <xf numFmtId="164" fontId="3" fillId="0" borderId="0" xfId="0" applyNumberFormat="1" applyFont="1" applyFill="1" applyBorder="1" applyAlignment="1">
      <alignment horizontal="left"/>
    </xf>
    <xf numFmtId="164" fontId="3" fillId="33" borderId="33" xfId="0" applyNumberFormat="1" applyFont="1" applyFill="1" applyBorder="1" applyAlignment="1">
      <alignment horizontal="center"/>
    </xf>
    <xf numFmtId="0" fontId="3" fillId="0" borderId="34" xfId="0" applyFont="1" applyFill="1" applyBorder="1" applyAlignment="1">
      <alignment/>
    </xf>
    <xf numFmtId="0" fontId="70" fillId="0" borderId="0" xfId="0" applyFont="1" applyAlignment="1">
      <alignment/>
    </xf>
    <xf numFmtId="0" fontId="71" fillId="0" borderId="0" xfId="0" applyFont="1" applyFill="1" applyAlignment="1">
      <alignment/>
    </xf>
    <xf numFmtId="169" fontId="3" fillId="0" borderId="15" xfId="0" applyNumberFormat="1" applyFont="1" applyFill="1" applyBorder="1" applyAlignment="1" applyProtection="1">
      <alignment horizontal="center"/>
      <protection/>
    </xf>
    <xf numFmtId="2" fontId="3" fillId="0" borderId="15" xfId="0" applyNumberFormat="1" applyFont="1" applyFill="1" applyBorder="1" applyAlignment="1" applyProtection="1">
      <alignment horizontal="center"/>
      <protection/>
    </xf>
    <xf numFmtId="0" fontId="3" fillId="0" borderId="35" xfId="0" applyFont="1" applyFill="1" applyBorder="1" applyAlignment="1" applyProtection="1">
      <alignment horizontal="left"/>
      <protection/>
    </xf>
    <xf numFmtId="0" fontId="3" fillId="0" borderId="36" xfId="0" applyFont="1" applyFill="1" applyBorder="1" applyAlignment="1">
      <alignment/>
    </xf>
    <xf numFmtId="0" fontId="3" fillId="0" borderId="37" xfId="0" applyFont="1" applyFill="1" applyBorder="1" applyAlignment="1">
      <alignment horizontal="center"/>
    </xf>
    <xf numFmtId="0" fontId="10" fillId="0" borderId="38" xfId="0" applyFont="1" applyFill="1" applyBorder="1" applyAlignment="1" applyProtection="1">
      <alignment horizontal="left"/>
      <protection/>
    </xf>
    <xf numFmtId="0" fontId="3" fillId="0" borderId="39" xfId="0" applyFont="1" applyFill="1" applyBorder="1" applyAlignment="1">
      <alignment/>
    </xf>
    <xf numFmtId="0" fontId="3" fillId="0" borderId="39" xfId="0" applyFont="1" applyFill="1" applyBorder="1" applyAlignment="1">
      <alignment horizontal="center"/>
    </xf>
    <xf numFmtId="0" fontId="3" fillId="0" borderId="40" xfId="0" applyFont="1" applyFill="1" applyBorder="1" applyAlignment="1">
      <alignment horizontal="center"/>
    </xf>
    <xf numFmtId="170" fontId="3" fillId="0" borderId="41" xfId="0" applyNumberFormat="1" applyFont="1" applyFill="1" applyBorder="1" applyAlignment="1" applyProtection="1">
      <alignment horizontal="center"/>
      <protection/>
    </xf>
    <xf numFmtId="170" fontId="4" fillId="0" borderId="41" xfId="0" applyNumberFormat="1" applyFont="1" applyFill="1" applyBorder="1" applyAlignment="1" applyProtection="1">
      <alignment horizontal="center"/>
      <protection/>
    </xf>
    <xf numFmtId="0" fontId="3" fillId="0" borderId="42" xfId="0" applyFont="1" applyFill="1" applyBorder="1" applyAlignment="1">
      <alignment horizontal="center"/>
    </xf>
    <xf numFmtId="0" fontId="3" fillId="0" borderId="43" xfId="0" applyFont="1" applyFill="1" applyBorder="1" applyAlignment="1">
      <alignment/>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17" xfId="0" applyFont="1" applyFill="1" applyBorder="1" applyAlignment="1" applyProtection="1">
      <alignment horizontal="center"/>
      <protection/>
    </xf>
    <xf numFmtId="0" fontId="3" fillId="0" borderId="46" xfId="0" applyFont="1" applyFill="1" applyBorder="1" applyAlignment="1" applyProtection="1">
      <alignment horizontal="center"/>
      <protection/>
    </xf>
    <xf numFmtId="0" fontId="3" fillId="0" borderId="47" xfId="0" applyFont="1" applyFill="1" applyBorder="1" applyAlignment="1">
      <alignment horizontal="center"/>
    </xf>
    <xf numFmtId="0" fontId="3" fillId="0" borderId="38" xfId="0" applyFont="1" applyFill="1" applyBorder="1" applyAlignment="1" applyProtection="1">
      <alignment horizontal="left"/>
      <protection/>
    </xf>
    <xf numFmtId="0" fontId="3" fillId="0" borderId="39" xfId="0" applyFont="1" applyFill="1" applyBorder="1" applyAlignment="1" applyProtection="1">
      <alignment horizontal="center"/>
      <protection/>
    </xf>
    <xf numFmtId="0" fontId="3" fillId="0" borderId="48" xfId="0" applyFont="1" applyFill="1" applyBorder="1" applyAlignment="1" applyProtection="1">
      <alignment horizontal="center"/>
      <protection/>
    </xf>
    <xf numFmtId="170" fontId="3" fillId="0" borderId="42" xfId="0" applyNumberFormat="1" applyFont="1" applyFill="1" applyBorder="1" applyAlignment="1" applyProtection="1">
      <alignment horizontal="center"/>
      <protection/>
    </xf>
    <xf numFmtId="171" fontId="3" fillId="0" borderId="15" xfId="0" applyNumberFormat="1" applyFont="1" applyFill="1" applyBorder="1" applyAlignment="1" applyProtection="1">
      <alignment horizontal="center"/>
      <protection/>
    </xf>
    <xf numFmtId="11" fontId="3" fillId="0" borderId="15" xfId="0" applyNumberFormat="1" applyFont="1" applyFill="1" applyBorder="1" applyAlignment="1" applyProtection="1">
      <alignment horizontal="center"/>
      <protection/>
    </xf>
    <xf numFmtId="0" fontId="3" fillId="0" borderId="49" xfId="0" applyFont="1" applyFill="1" applyBorder="1" applyAlignment="1" applyProtection="1">
      <alignment horizontal="left"/>
      <protection/>
    </xf>
    <xf numFmtId="0" fontId="3" fillId="0" borderId="50" xfId="0" applyFont="1" applyFill="1" applyBorder="1" applyAlignment="1" applyProtection="1">
      <alignment horizontal="center"/>
      <protection/>
    </xf>
    <xf numFmtId="171" fontId="3" fillId="0" borderId="50" xfId="0" applyNumberFormat="1" applyFont="1" applyFill="1" applyBorder="1" applyAlignment="1" applyProtection="1">
      <alignment horizontal="center"/>
      <protection/>
    </xf>
    <xf numFmtId="11" fontId="3" fillId="0" borderId="50" xfId="0" applyNumberFormat="1" applyFont="1" applyFill="1" applyBorder="1" applyAlignment="1" applyProtection="1">
      <alignment horizontal="center"/>
      <protection/>
    </xf>
    <xf numFmtId="169" fontId="3" fillId="0" borderId="50" xfId="0" applyNumberFormat="1" applyFont="1" applyFill="1" applyBorder="1" applyAlignment="1" applyProtection="1">
      <alignment horizontal="center"/>
      <protection/>
    </xf>
    <xf numFmtId="170" fontId="3" fillId="0" borderId="51" xfId="0" applyNumberFormat="1" applyFont="1" applyFill="1" applyBorder="1" applyAlignment="1" applyProtection="1">
      <alignment horizontal="center"/>
      <protection/>
    </xf>
    <xf numFmtId="171" fontId="3" fillId="0" borderId="17" xfId="0" applyNumberFormat="1" applyFont="1" applyFill="1" applyBorder="1" applyAlignment="1" applyProtection="1">
      <alignment horizontal="center"/>
      <protection/>
    </xf>
    <xf numFmtId="11" fontId="3" fillId="0" borderId="17" xfId="0" applyNumberFormat="1" applyFont="1" applyFill="1" applyBorder="1" applyAlignment="1" applyProtection="1">
      <alignment horizontal="center"/>
      <protection/>
    </xf>
    <xf numFmtId="169" fontId="3" fillId="0" borderId="17" xfId="0" applyNumberFormat="1" applyFont="1" applyFill="1" applyBorder="1" applyAlignment="1" applyProtection="1">
      <alignment horizontal="center"/>
      <protection/>
    </xf>
    <xf numFmtId="0" fontId="3" fillId="0" borderId="52" xfId="0" applyFont="1" applyFill="1" applyBorder="1" applyAlignment="1" applyProtection="1">
      <alignment horizontal="left"/>
      <protection/>
    </xf>
    <xf numFmtId="0" fontId="3" fillId="0" borderId="16" xfId="0" applyFont="1" applyFill="1" applyBorder="1" applyAlignment="1">
      <alignment/>
    </xf>
    <xf numFmtId="171" fontId="3" fillId="0" borderId="39" xfId="0" applyNumberFormat="1" applyFont="1" applyFill="1" applyBorder="1" applyAlignment="1" applyProtection="1">
      <alignment horizontal="center"/>
      <protection/>
    </xf>
    <xf numFmtId="11" fontId="3" fillId="0" borderId="39" xfId="0" applyNumberFormat="1" applyFont="1" applyFill="1" applyBorder="1" applyAlignment="1" applyProtection="1">
      <alignment horizontal="center"/>
      <protection/>
    </xf>
    <xf numFmtId="169" fontId="3" fillId="0" borderId="39" xfId="0" applyNumberFormat="1" applyFont="1" applyFill="1" applyBorder="1" applyAlignment="1" applyProtection="1">
      <alignment horizontal="center"/>
      <protection/>
    </xf>
    <xf numFmtId="0" fontId="3" fillId="0" borderId="53" xfId="0" applyFont="1" applyFill="1" applyBorder="1" applyAlignment="1">
      <alignment horizontal="center"/>
    </xf>
    <xf numFmtId="0" fontId="3" fillId="0" borderId="54" xfId="0" applyFont="1" applyFill="1" applyBorder="1" applyAlignment="1" applyProtection="1">
      <alignment horizontal="center"/>
      <protection/>
    </xf>
    <xf numFmtId="170" fontId="3" fillId="0" borderId="54" xfId="0" applyNumberFormat="1" applyFont="1" applyFill="1" applyBorder="1" applyAlignment="1" applyProtection="1">
      <alignment horizontal="center"/>
      <protection/>
    </xf>
    <xf numFmtId="0" fontId="3" fillId="0" borderId="34" xfId="0" applyFont="1" applyFill="1" applyBorder="1" applyAlignment="1" applyProtection="1">
      <alignment horizontal="center"/>
      <protection/>
    </xf>
    <xf numFmtId="0" fontId="3" fillId="0" borderId="40" xfId="0" applyFont="1" applyFill="1" applyBorder="1" applyAlignment="1">
      <alignment/>
    </xf>
    <xf numFmtId="0" fontId="3" fillId="0" borderId="55" xfId="0" applyFont="1" applyFill="1" applyBorder="1" applyAlignment="1">
      <alignment/>
    </xf>
    <xf numFmtId="0" fontId="3" fillId="0" borderId="27" xfId="0" applyFont="1" applyFill="1" applyBorder="1" applyAlignment="1">
      <alignment/>
    </xf>
    <xf numFmtId="0" fontId="3" fillId="0" borderId="56" xfId="0" applyFont="1" applyFill="1" applyBorder="1" applyAlignment="1">
      <alignment/>
    </xf>
    <xf numFmtId="0" fontId="7" fillId="0" borderId="25" xfId="0" applyFont="1" applyFill="1" applyBorder="1" applyAlignment="1" applyProtection="1">
      <alignment horizontal="left"/>
      <protection/>
    </xf>
    <xf numFmtId="0" fontId="7" fillId="0" borderId="25" xfId="0" applyFont="1" applyFill="1" applyBorder="1" applyAlignment="1" applyProtection="1">
      <alignment horizontal="center"/>
      <protection/>
    </xf>
    <xf numFmtId="0" fontId="3" fillId="0" borderId="25" xfId="0" applyFont="1" applyFill="1" applyBorder="1" applyAlignment="1" applyProtection="1">
      <alignment horizontal="left"/>
      <protection/>
    </xf>
    <xf numFmtId="0" fontId="71" fillId="0" borderId="36" xfId="0" applyFont="1" applyFill="1" applyBorder="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15" xfId="0" applyFont="1" applyBorder="1" applyAlignment="1">
      <alignment horizontal="center" vertical="center"/>
    </xf>
    <xf numFmtId="0" fontId="3" fillId="0" borderId="0" xfId="0" applyFont="1" applyFill="1" applyBorder="1" applyAlignment="1">
      <alignment vertical="center"/>
    </xf>
    <xf numFmtId="2" fontId="0" fillId="0" borderId="0" xfId="0" applyNumberFormat="1" applyAlignment="1">
      <alignment horizontal="center"/>
    </xf>
    <xf numFmtId="165" fontId="3" fillId="0" borderId="0" xfId="0" applyNumberFormat="1" applyFont="1" applyBorder="1" applyAlignment="1">
      <alignment horizontal="center" vertical="center"/>
    </xf>
    <xf numFmtId="0" fontId="0" fillId="0" borderId="0" xfId="0" applyAlignment="1">
      <alignment/>
    </xf>
    <xf numFmtId="0" fontId="3" fillId="0" borderId="19" xfId="0" applyFont="1" applyFill="1" applyBorder="1" applyAlignment="1">
      <alignment horizontal="center"/>
    </xf>
    <xf numFmtId="164" fontId="3" fillId="0" borderId="15" xfId="0" applyNumberFormat="1" applyFont="1" applyBorder="1" applyAlignment="1">
      <alignment horizontal="center" vertical="center"/>
    </xf>
    <xf numFmtId="0" fontId="3" fillId="0" borderId="55" xfId="0" applyFont="1" applyFill="1" applyBorder="1" applyAlignment="1">
      <alignment horizontal="center"/>
    </xf>
    <xf numFmtId="0" fontId="3" fillId="0" borderId="26" xfId="0" applyFont="1" applyFill="1" applyBorder="1" applyAlignment="1">
      <alignment horizontal="center"/>
    </xf>
    <xf numFmtId="0" fontId="5" fillId="0" borderId="0" xfId="0" applyFont="1" applyFill="1" applyBorder="1" applyAlignment="1">
      <alignment/>
    </xf>
    <xf numFmtId="0" fontId="3" fillId="0" borderId="25" xfId="0" applyFont="1" applyFill="1" applyBorder="1" applyAlignment="1">
      <alignment horizontal="center"/>
    </xf>
    <xf numFmtId="0" fontId="0" fillId="0" borderId="57" xfId="0" applyBorder="1" applyAlignment="1">
      <alignment/>
    </xf>
    <xf numFmtId="0" fontId="72" fillId="0" borderId="0" xfId="0" applyFont="1" applyBorder="1" applyAlignment="1">
      <alignment/>
    </xf>
    <xf numFmtId="0" fontId="3" fillId="0" borderId="13" xfId="0" applyFont="1" applyFill="1" applyBorder="1" applyAlignment="1">
      <alignment horizontal="center"/>
    </xf>
    <xf numFmtId="0" fontId="0" fillId="0" borderId="11" xfId="0" applyBorder="1" applyAlignment="1">
      <alignment horizontal="center"/>
    </xf>
    <xf numFmtId="0" fontId="0" fillId="0" borderId="19" xfId="0" applyFill="1" applyBorder="1" applyAlignment="1">
      <alignment horizontal="center"/>
    </xf>
    <xf numFmtId="0" fontId="0" fillId="0" borderId="11" xfId="0" applyFill="1" applyBorder="1" applyAlignment="1">
      <alignment horizontal="center"/>
    </xf>
    <xf numFmtId="0" fontId="0" fillId="0" borderId="0" xfId="0" applyFont="1" applyBorder="1" applyAlignment="1">
      <alignment/>
    </xf>
    <xf numFmtId="0" fontId="73" fillId="0" borderId="0" xfId="0" applyFont="1" applyAlignment="1">
      <alignment/>
    </xf>
    <xf numFmtId="0" fontId="0" fillId="0" borderId="15" xfId="0" applyBorder="1" applyAlignment="1">
      <alignment/>
    </xf>
    <xf numFmtId="0" fontId="0" fillId="0" borderId="58" xfId="0" applyBorder="1" applyAlignment="1">
      <alignment/>
    </xf>
    <xf numFmtId="0" fontId="74" fillId="0" borderId="0" xfId="0" applyFont="1" applyAlignment="1">
      <alignment vertical="center"/>
    </xf>
    <xf numFmtId="0" fontId="75" fillId="0" borderId="0" xfId="0" applyFont="1" applyBorder="1" applyAlignment="1">
      <alignment/>
    </xf>
    <xf numFmtId="0" fontId="0" fillId="0" borderId="58" xfId="0" applyFill="1" applyBorder="1" applyAlignment="1">
      <alignment horizontal="center"/>
    </xf>
    <xf numFmtId="0" fontId="0" fillId="0" borderId="19" xfId="0" applyBorder="1" applyAlignment="1">
      <alignment/>
    </xf>
    <xf numFmtId="0" fontId="0" fillId="0" borderId="11" xfId="0" applyBorder="1" applyAlignment="1">
      <alignment/>
    </xf>
    <xf numFmtId="165" fontId="3" fillId="33" borderId="33" xfId="0" applyNumberFormat="1" applyFont="1" applyFill="1" applyBorder="1" applyAlignment="1">
      <alignment horizontal="center"/>
    </xf>
    <xf numFmtId="164" fontId="3" fillId="0" borderId="50" xfId="0" applyNumberFormat="1" applyFont="1" applyFill="1" applyBorder="1" applyAlignment="1" applyProtection="1">
      <alignment horizontal="center"/>
      <protection/>
    </xf>
    <xf numFmtId="167" fontId="3" fillId="0" borderId="0" xfId="0" applyNumberFormat="1" applyFont="1" applyAlignment="1">
      <alignment vertical="center"/>
    </xf>
    <xf numFmtId="0" fontId="70" fillId="19" borderId="59" xfId="0" applyFont="1" applyFill="1" applyBorder="1" applyAlignment="1">
      <alignment horizontal="left" vertical="center"/>
    </xf>
    <xf numFmtId="0" fontId="3" fillId="19" borderId="60" xfId="0" applyFont="1" applyFill="1" applyBorder="1" applyAlignment="1">
      <alignment horizontal="center"/>
    </xf>
    <xf numFmtId="165" fontId="3" fillId="19" borderId="61" xfId="0" applyNumberFormat="1" applyFont="1" applyFill="1" applyBorder="1" applyAlignment="1">
      <alignment horizontal="left"/>
    </xf>
    <xf numFmtId="0" fontId="3" fillId="19" borderId="59" xfId="0" applyFont="1" applyFill="1" applyBorder="1" applyAlignment="1">
      <alignment/>
    </xf>
    <xf numFmtId="0" fontId="0" fillId="0" borderId="10" xfId="0" applyBorder="1" applyAlignment="1">
      <alignment/>
    </xf>
    <xf numFmtId="0" fontId="0" fillId="0" borderId="0" xfId="0" applyBorder="1" applyAlignment="1">
      <alignment/>
    </xf>
    <xf numFmtId="0" fontId="0" fillId="0" borderId="12" xfId="0" applyBorder="1" applyAlignment="1">
      <alignment/>
    </xf>
    <xf numFmtId="3" fontId="0" fillId="0" borderId="0" xfId="0" applyNumberFormat="1" applyAlignment="1">
      <alignment horizontal="center"/>
    </xf>
    <xf numFmtId="0" fontId="3" fillId="0" borderId="57" xfId="0" applyFont="1" applyFill="1" applyBorder="1" applyAlignment="1">
      <alignment/>
    </xf>
    <xf numFmtId="0" fontId="3" fillId="32" borderId="15" xfId="0" applyFont="1" applyFill="1" applyBorder="1" applyAlignment="1">
      <alignment horizontal="center"/>
    </xf>
    <xf numFmtId="0" fontId="0" fillId="0" borderId="0" xfId="0" applyAlignment="1">
      <alignment/>
    </xf>
    <xf numFmtId="0" fontId="66" fillId="0" borderId="62" xfId="0" applyFont="1" applyBorder="1" applyAlignment="1">
      <alignment horizontal="center"/>
    </xf>
    <xf numFmtId="0" fontId="66" fillId="0" borderId="63" xfId="0" applyFont="1" applyBorder="1" applyAlignment="1">
      <alignment horizontal="center"/>
    </xf>
    <xf numFmtId="0" fontId="66" fillId="0" borderId="64" xfId="0" applyFont="1" applyBorder="1" applyAlignment="1">
      <alignment horizontal="center"/>
    </xf>
    <xf numFmtId="0" fontId="3" fillId="32" borderId="17" xfId="0" applyFont="1" applyFill="1" applyBorder="1" applyAlignment="1">
      <alignment horizontal="center"/>
    </xf>
    <xf numFmtId="0" fontId="0" fillId="0" borderId="30" xfId="0" applyBorder="1" applyAlignment="1">
      <alignment horizontal="center"/>
    </xf>
    <xf numFmtId="0" fontId="0" fillId="0" borderId="0" xfId="0" applyFont="1" applyBorder="1" applyAlignment="1">
      <alignment horizontal="center"/>
    </xf>
    <xf numFmtId="0" fontId="75" fillId="0" borderId="30" xfId="0" applyFont="1" applyBorder="1" applyAlignment="1">
      <alignment/>
    </xf>
    <xf numFmtId="0" fontId="64" fillId="0" borderId="0" xfId="0" applyFont="1" applyAlignment="1">
      <alignment horizontal="center" vertical="center" wrapText="1"/>
    </xf>
    <xf numFmtId="0" fontId="58" fillId="0" borderId="0" xfId="51" applyAlignment="1">
      <alignment horizontal="center" vertical="center" wrapText="1"/>
    </xf>
    <xf numFmtId="0" fontId="0" fillId="0" borderId="0" xfId="0" applyAlignment="1">
      <alignment vertical="center" wrapText="1"/>
    </xf>
    <xf numFmtId="0" fontId="0" fillId="0" borderId="14" xfId="0" applyBorder="1" applyAlignment="1">
      <alignment horizontal="center"/>
    </xf>
    <xf numFmtId="173" fontId="0" fillId="0" borderId="34" xfId="0" applyNumberFormat="1" applyFill="1" applyBorder="1" applyAlignment="1">
      <alignment horizontal="center"/>
    </xf>
    <xf numFmtId="166" fontId="0" fillId="0" borderId="57" xfId="0" applyNumberFormat="1" applyFill="1" applyBorder="1" applyAlignment="1">
      <alignment horizontal="center"/>
    </xf>
    <xf numFmtId="166" fontId="0" fillId="0" borderId="14" xfId="0" applyNumberFormat="1" applyFill="1" applyBorder="1" applyAlignment="1">
      <alignment horizontal="center"/>
    </xf>
    <xf numFmtId="0" fontId="0" fillId="0" borderId="0" xfId="0" applyAlignment="1">
      <alignment horizontal="center" vertical="center" wrapText="1"/>
    </xf>
    <xf numFmtId="0" fontId="58" fillId="0" borderId="0" xfId="51" applyAlignment="1">
      <alignment horizontal="left"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76" fillId="0" borderId="0" xfId="0" applyFont="1" applyAlignment="1">
      <alignment vertical="center"/>
    </xf>
    <xf numFmtId="0" fontId="0" fillId="0" borderId="0" xfId="0" applyAlignment="1">
      <alignment horizontal="left" vertical="center" indent="2"/>
    </xf>
    <xf numFmtId="0" fontId="0" fillId="0" borderId="0" xfId="0" applyAlignment="1">
      <alignment horizontal="left" vertical="center" wrapText="1" indent="1"/>
    </xf>
    <xf numFmtId="0" fontId="0" fillId="0" borderId="0" xfId="0" applyAlignment="1">
      <alignment horizontal="left" vertical="center" indent="3"/>
    </xf>
    <xf numFmtId="0" fontId="58" fillId="0" borderId="20" xfId="51" applyBorder="1" applyAlignment="1">
      <alignment horizontal="center" vertical="center" wrapText="1"/>
    </xf>
    <xf numFmtId="0" fontId="0" fillId="0" borderId="20" xfId="0" applyBorder="1" applyAlignment="1">
      <alignment horizontal="left" vertical="center" wrapText="1"/>
    </xf>
    <xf numFmtId="3" fontId="0" fillId="0" borderId="20" xfId="0" applyNumberFormat="1" applyBorder="1" applyAlignment="1">
      <alignment vertical="center" wrapText="1"/>
    </xf>
    <xf numFmtId="0" fontId="0" fillId="0" borderId="0" xfId="0" applyAlignment="1">
      <alignment/>
    </xf>
    <xf numFmtId="0" fontId="0" fillId="19" borderId="20" xfId="0" applyFill="1" applyBorder="1" applyAlignment="1">
      <alignment vertical="center" wrapText="1"/>
    </xf>
    <xf numFmtId="0" fontId="0" fillId="0" borderId="67"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horizontal="center"/>
    </xf>
    <xf numFmtId="0" fontId="58" fillId="0" borderId="0" xfId="51" applyAlignment="1">
      <alignment/>
    </xf>
    <xf numFmtId="0" fontId="0" fillId="0" borderId="0" xfId="0" applyAlignment="1">
      <alignment horizontal="center" vertical="center"/>
    </xf>
    <xf numFmtId="0" fontId="0" fillId="0" borderId="0" xfId="0" applyAlignment="1">
      <alignment/>
    </xf>
    <xf numFmtId="169" fontId="7" fillId="0" borderId="0" xfId="0" applyNumberFormat="1" applyFont="1" applyFill="1" applyBorder="1" applyAlignment="1" applyProtection="1">
      <alignment horizontal="center"/>
      <protection/>
    </xf>
    <xf numFmtId="2" fontId="7" fillId="0" borderId="0" xfId="0" applyNumberFormat="1" applyFont="1" applyFill="1" applyBorder="1" applyAlignment="1" applyProtection="1">
      <alignment horizontal="center"/>
      <protection/>
    </xf>
    <xf numFmtId="0" fontId="3" fillId="0" borderId="15" xfId="0" applyFont="1" applyFill="1" applyBorder="1" applyAlignment="1">
      <alignment/>
    </xf>
    <xf numFmtId="0" fontId="3" fillId="0" borderId="58" xfId="0" applyFont="1" applyFill="1" applyBorder="1" applyAlignment="1">
      <alignment/>
    </xf>
    <xf numFmtId="0" fontId="3" fillId="0" borderId="68" xfId="0" applyFont="1" applyFill="1" applyBorder="1" applyAlignment="1">
      <alignment/>
    </xf>
    <xf numFmtId="3" fontId="68" fillId="0" borderId="0" xfId="0" applyNumberFormat="1" applyFont="1" applyAlignment="1">
      <alignment/>
    </xf>
    <xf numFmtId="0" fontId="68" fillId="0" borderId="0" xfId="0" applyFont="1" applyAlignment="1">
      <alignment/>
    </xf>
    <xf numFmtId="0" fontId="68" fillId="0" borderId="69" xfId="0" applyFont="1" applyBorder="1" applyAlignment="1">
      <alignment horizontal="center" vertical="center" wrapText="1"/>
    </xf>
    <xf numFmtId="0" fontId="68" fillId="0" borderId="20" xfId="0" applyFont="1" applyBorder="1" applyAlignment="1">
      <alignment vertical="center" wrapText="1"/>
    </xf>
    <xf numFmtId="167" fontId="68" fillId="0" borderId="0" xfId="0" applyNumberFormat="1" applyFont="1" applyAlignment="1">
      <alignment/>
    </xf>
    <xf numFmtId="167" fontId="68" fillId="0" borderId="0" xfId="0" applyNumberFormat="1" applyFont="1" applyAlignment="1">
      <alignment horizontal="center"/>
    </xf>
    <xf numFmtId="174" fontId="68" fillId="0" borderId="0" xfId="0" applyNumberFormat="1" applyFont="1" applyAlignment="1">
      <alignment/>
    </xf>
    <xf numFmtId="0" fontId="77" fillId="0" borderId="70" xfId="0" applyFont="1" applyBorder="1" applyAlignment="1">
      <alignment horizontal="center" vertical="center" wrapText="1"/>
    </xf>
    <xf numFmtId="0" fontId="68" fillId="0" borderId="15" xfId="0" applyFont="1" applyBorder="1" applyAlignment="1">
      <alignment horizontal="center"/>
    </xf>
    <xf numFmtId="167" fontId="68" fillId="0" borderId="71" xfId="0" applyNumberFormat="1" applyFont="1" applyBorder="1" applyAlignment="1">
      <alignment horizontal="center" vertical="center" wrapText="1"/>
    </xf>
    <xf numFmtId="172" fontId="68" fillId="0" borderId="71" xfId="0" applyNumberFormat="1" applyFont="1" applyBorder="1" applyAlignment="1">
      <alignment horizontal="center" vertical="center" wrapText="1"/>
    </xf>
    <xf numFmtId="0" fontId="78" fillId="0" borderId="0" xfId="0" applyFont="1" applyAlignment="1">
      <alignment vertical="center"/>
    </xf>
    <xf numFmtId="0" fontId="77" fillId="0" borderId="20" xfId="0" applyFont="1" applyBorder="1" applyAlignment="1">
      <alignment horizontal="center" vertical="center" wrapText="1"/>
    </xf>
    <xf numFmtId="0" fontId="77" fillId="0" borderId="0" xfId="0" applyFont="1" applyBorder="1" applyAlignment="1">
      <alignment horizontal="center" vertical="center" wrapText="1"/>
    </xf>
    <xf numFmtId="0" fontId="68" fillId="0" borderId="0" xfId="0" applyFont="1" applyBorder="1" applyAlignment="1">
      <alignment vertical="center" wrapText="1"/>
    </xf>
    <xf numFmtId="0" fontId="68" fillId="0" borderId="21" xfId="0" applyFont="1" applyBorder="1" applyAlignment="1">
      <alignment/>
    </xf>
    <xf numFmtId="0" fontId="77" fillId="0" borderId="0" xfId="0" applyFont="1" applyAlignment="1">
      <alignment horizontal="center" vertical="center" wrapText="1"/>
    </xf>
    <xf numFmtId="0" fontId="79" fillId="0" borderId="0" xfId="0" applyFont="1" applyAlignment="1">
      <alignment horizontal="center" vertical="center" wrapText="1"/>
    </xf>
    <xf numFmtId="0" fontId="68" fillId="0" borderId="0" xfId="0" applyFont="1" applyAlignment="1">
      <alignment vertical="center" wrapText="1"/>
    </xf>
    <xf numFmtId="0" fontId="3" fillId="0" borderId="0" xfId="0" applyFont="1" applyFill="1" applyAlignment="1">
      <alignment horizontal="center"/>
    </xf>
    <xf numFmtId="0" fontId="79" fillId="0" borderId="0" xfId="0" applyFont="1" applyAlignment="1">
      <alignment vertical="center" wrapText="1"/>
    </xf>
    <xf numFmtId="0" fontId="58" fillId="0" borderId="0" xfId="51" applyFont="1" applyAlignment="1">
      <alignment horizontal="center" vertical="center" wrapText="1"/>
    </xf>
    <xf numFmtId="3" fontId="68" fillId="0" borderId="0" xfId="0" applyNumberFormat="1" applyFont="1" applyAlignment="1">
      <alignment vertical="center" wrapText="1"/>
    </xf>
    <xf numFmtId="0" fontId="3" fillId="19" borderId="72" xfId="0" applyFont="1" applyFill="1" applyBorder="1" applyAlignment="1">
      <alignment/>
    </xf>
    <xf numFmtId="0" fontId="3" fillId="19" borderId="22" xfId="0" applyFont="1" applyFill="1" applyBorder="1" applyAlignment="1">
      <alignment/>
    </xf>
    <xf numFmtId="0" fontId="68" fillId="19" borderId="22" xfId="0" applyFont="1" applyFill="1" applyBorder="1" applyAlignment="1">
      <alignment vertical="center" wrapText="1"/>
    </xf>
    <xf numFmtId="3" fontId="68" fillId="19" borderId="22" xfId="0" applyNumberFormat="1" applyFont="1" applyFill="1" applyBorder="1" applyAlignment="1">
      <alignment vertical="center" wrapText="1"/>
    </xf>
    <xf numFmtId="0" fontId="3" fillId="0" borderId="22" xfId="0" applyFont="1" applyFill="1" applyBorder="1" applyAlignment="1">
      <alignment/>
    </xf>
    <xf numFmtId="0" fontId="3" fillId="0" borderId="73" xfId="0" applyFont="1" applyFill="1" applyBorder="1" applyAlignment="1">
      <alignment/>
    </xf>
    <xf numFmtId="0" fontId="3" fillId="0" borderId="74" xfId="0" applyFont="1" applyFill="1" applyBorder="1" applyAlignment="1">
      <alignment/>
    </xf>
    <xf numFmtId="0" fontId="3" fillId="0" borderId="23" xfId="0" applyFont="1" applyFill="1" applyBorder="1" applyAlignment="1">
      <alignment/>
    </xf>
    <xf numFmtId="0" fontId="68" fillId="0" borderId="23" xfId="0" applyFont="1" applyFill="1" applyBorder="1" applyAlignment="1">
      <alignment vertical="center" wrapText="1"/>
    </xf>
    <xf numFmtId="3" fontId="68" fillId="0" borderId="23" xfId="0" applyNumberFormat="1" applyFont="1" applyFill="1" applyBorder="1" applyAlignment="1">
      <alignment vertical="center" wrapText="1"/>
    </xf>
    <xf numFmtId="2" fontId="3" fillId="0" borderId="23" xfId="0" applyNumberFormat="1" applyFont="1" applyFill="1" applyBorder="1" applyAlignment="1">
      <alignment/>
    </xf>
    <xf numFmtId="0" fontId="3" fillId="0" borderId="75" xfId="0" applyFont="1" applyFill="1" applyBorder="1" applyAlignment="1">
      <alignment/>
    </xf>
    <xf numFmtId="0" fontId="68" fillId="0" borderId="0" xfId="0" applyFont="1" applyAlignment="1">
      <alignment vertical="center" wrapText="1"/>
    </xf>
    <xf numFmtId="2" fontId="3" fillId="0" borderId="15" xfId="0" applyNumberFormat="1" applyFont="1" applyFill="1" applyBorder="1" applyAlignment="1">
      <alignment horizontal="center"/>
    </xf>
    <xf numFmtId="0" fontId="3" fillId="0" borderId="76" xfId="0" applyFont="1" applyFill="1" applyBorder="1" applyAlignment="1">
      <alignment horizontal="center"/>
    </xf>
    <xf numFmtId="2" fontId="3" fillId="0" borderId="34" xfId="0" applyNumberFormat="1" applyFont="1" applyFill="1" applyBorder="1" applyAlignment="1">
      <alignment horizontal="center"/>
    </xf>
    <xf numFmtId="2" fontId="3" fillId="0" borderId="57" xfId="0" applyNumberFormat="1" applyFont="1" applyFill="1" applyBorder="1" applyAlignment="1">
      <alignment horizontal="center"/>
    </xf>
    <xf numFmtId="0" fontId="77" fillId="0" borderId="65" xfId="0" applyFont="1" applyBorder="1" applyAlignment="1">
      <alignment horizontal="center" vertical="center" wrapText="1"/>
    </xf>
    <xf numFmtId="0" fontId="77" fillId="0" borderId="69" xfId="0" applyFont="1" applyBorder="1" applyAlignment="1">
      <alignment horizontal="center" vertical="center" wrapText="1"/>
    </xf>
    <xf numFmtId="0" fontId="77" fillId="0" borderId="66" xfId="0" applyFont="1" applyBorder="1" applyAlignment="1">
      <alignment horizontal="center" vertical="center" wrapText="1"/>
    </xf>
    <xf numFmtId="0" fontId="0" fillId="0" borderId="0" xfId="0" applyAlignment="1">
      <alignment/>
    </xf>
    <xf numFmtId="168" fontId="3" fillId="0" borderId="57" xfId="0" applyNumberFormat="1" applyFont="1" applyFill="1" applyBorder="1" applyAlignment="1" applyProtection="1">
      <alignment horizontal="center"/>
      <protection/>
    </xf>
    <xf numFmtId="2" fontId="3" fillId="0" borderId="11" xfId="0" applyNumberFormat="1" applyFont="1" applyFill="1" applyBorder="1" applyAlignment="1">
      <alignment horizontal="center"/>
    </xf>
    <xf numFmtId="2" fontId="3" fillId="0" borderId="58" xfId="0" applyNumberFormat="1" applyFont="1" applyFill="1" applyBorder="1" applyAlignment="1">
      <alignment horizontal="center"/>
    </xf>
    <xf numFmtId="0" fontId="3" fillId="0" borderId="14" xfId="0" applyFont="1" applyFill="1" applyBorder="1" applyAlignment="1">
      <alignment horizontal="center"/>
    </xf>
    <xf numFmtId="0" fontId="3" fillId="0" borderId="12" xfId="0" applyFont="1" applyFill="1" applyBorder="1" applyAlignment="1">
      <alignment horizontal="center"/>
    </xf>
    <xf numFmtId="166" fontId="3" fillId="0" borderId="57" xfId="0" applyNumberFormat="1" applyFont="1" applyFill="1" applyBorder="1" applyAlignment="1">
      <alignment horizontal="center"/>
    </xf>
    <xf numFmtId="3" fontId="3" fillId="0" borderId="15" xfId="0" applyNumberFormat="1" applyFont="1" applyFill="1" applyBorder="1" applyAlignment="1">
      <alignment horizontal="center"/>
    </xf>
    <xf numFmtId="3" fontId="3" fillId="0" borderId="18" xfId="0" applyNumberFormat="1" applyFont="1" applyFill="1" applyBorder="1" applyAlignment="1">
      <alignment horizontal="center"/>
    </xf>
    <xf numFmtId="0" fontId="3" fillId="0" borderId="77" xfId="0" applyFont="1" applyFill="1" applyBorder="1" applyAlignment="1">
      <alignment horizontal="center"/>
    </xf>
    <xf numFmtId="0" fontId="3" fillId="0" borderId="44" xfId="0" applyFont="1" applyFill="1" applyBorder="1" applyAlignment="1">
      <alignment/>
    </xf>
    <xf numFmtId="0" fontId="3" fillId="0" borderId="45" xfId="0" applyFont="1" applyFill="1" applyBorder="1" applyAlignment="1">
      <alignment/>
    </xf>
    <xf numFmtId="0" fontId="71" fillId="0" borderId="43" xfId="0" applyFont="1" applyFill="1" applyBorder="1" applyAlignment="1">
      <alignment/>
    </xf>
    <xf numFmtId="0" fontId="58" fillId="0" borderId="0" xfId="51" applyAlignment="1">
      <alignment horizontal="center" vertical="center"/>
    </xf>
    <xf numFmtId="0" fontId="58" fillId="0" borderId="17" xfId="51" applyBorder="1" applyAlignment="1">
      <alignment horizontal="left" vertical="center" wrapText="1"/>
    </xf>
    <xf numFmtId="0" fontId="58" fillId="0" borderId="15" xfId="51" applyBorder="1" applyAlignment="1">
      <alignment horizontal="left"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172" fontId="72" fillId="0" borderId="0" xfId="0" applyNumberFormat="1" applyFont="1" applyAlignment="1">
      <alignment/>
    </xf>
    <xf numFmtId="0" fontId="70" fillId="0" borderId="36" xfId="0" applyFont="1" applyBorder="1" applyAlignment="1">
      <alignment horizontal="center"/>
    </xf>
    <xf numFmtId="166" fontId="3" fillId="0" borderId="16" xfId="0" applyNumberFormat="1" applyFont="1" applyFill="1" applyBorder="1" applyAlignment="1">
      <alignment horizontal="center"/>
    </xf>
    <xf numFmtId="0" fontId="73" fillId="0" borderId="20" xfId="0" applyFont="1" applyBorder="1" applyAlignment="1">
      <alignment vertical="center" wrapText="1"/>
    </xf>
    <xf numFmtId="0" fontId="69" fillId="32" borderId="12" xfId="0" applyFont="1" applyFill="1" applyBorder="1" applyAlignment="1">
      <alignment horizontal="center"/>
    </xf>
    <xf numFmtId="0" fontId="3" fillId="0" borderId="78" xfId="0" applyFont="1" applyFill="1" applyBorder="1" applyAlignment="1">
      <alignment horizontal="center"/>
    </xf>
    <xf numFmtId="0" fontId="3" fillId="0" borderId="79" xfId="0" applyFont="1" applyFill="1" applyBorder="1" applyAlignment="1">
      <alignment horizontal="center"/>
    </xf>
    <xf numFmtId="0" fontId="10" fillId="0" borderId="0" xfId="0" applyFont="1" applyFill="1" applyBorder="1" applyAlignment="1" applyProtection="1">
      <alignment horizontal="left"/>
      <protection/>
    </xf>
    <xf numFmtId="0" fontId="67" fillId="0" borderId="0" xfId="0" applyFont="1" applyAlignment="1">
      <alignment horizontal="center" vertical="center"/>
    </xf>
    <xf numFmtId="0" fontId="58" fillId="0" borderId="0" xfId="51" applyAlignment="1">
      <alignment horizontal="center"/>
    </xf>
    <xf numFmtId="173" fontId="0" fillId="0" borderId="17" xfId="0" applyNumberFormat="1" applyFill="1" applyBorder="1" applyAlignment="1">
      <alignment horizontal="center"/>
    </xf>
    <xf numFmtId="0" fontId="80" fillId="0" borderId="12" xfId="0" applyFont="1" applyBorder="1" applyAlignment="1">
      <alignment horizontal="center"/>
    </xf>
    <xf numFmtId="166" fontId="0" fillId="0" borderId="15" xfId="0" applyNumberFormat="1" applyBorder="1" applyAlignment="1">
      <alignment horizontal="center"/>
    </xf>
    <xf numFmtId="173" fontId="0" fillId="0" borderId="15" xfId="0" applyNumberFormat="1" applyBorder="1" applyAlignment="1">
      <alignment horizontal="center"/>
    </xf>
    <xf numFmtId="0" fontId="73" fillId="0" borderId="28" xfId="0" applyFont="1" applyBorder="1" applyAlignment="1">
      <alignment horizontal="right"/>
    </xf>
    <xf numFmtId="0" fontId="73" fillId="0" borderId="0" xfId="0" applyFont="1" applyBorder="1" applyAlignment="1">
      <alignment horizontal="right"/>
    </xf>
    <xf numFmtId="0" fontId="73" fillId="0" borderId="0" xfId="0" applyFont="1" applyAlignment="1">
      <alignment horizontal="right"/>
    </xf>
    <xf numFmtId="0" fontId="81" fillId="0" borderId="0" xfId="0" applyFont="1" applyBorder="1" applyAlignment="1">
      <alignment/>
    </xf>
    <xf numFmtId="0" fontId="73" fillId="0" borderId="0" xfId="0" applyFont="1" applyFill="1" applyBorder="1" applyAlignment="1">
      <alignment horizontal="right"/>
    </xf>
    <xf numFmtId="0" fontId="66" fillId="0" borderId="0" xfId="0" applyFont="1" applyAlignment="1">
      <alignment horizontal="right"/>
    </xf>
    <xf numFmtId="0" fontId="0" fillId="0" borderId="0" xfId="0" applyAlignment="1" quotePrefix="1">
      <alignment/>
    </xf>
    <xf numFmtId="0" fontId="75" fillId="0" borderId="0" xfId="0" applyFont="1" applyAlignment="1">
      <alignment/>
    </xf>
    <xf numFmtId="0" fontId="82" fillId="0" borderId="0" xfId="0" applyFont="1" applyAlignment="1" quotePrefix="1">
      <alignment/>
    </xf>
    <xf numFmtId="169" fontId="7" fillId="0" borderId="78" xfId="0" applyNumberFormat="1" applyFont="1" applyFill="1" applyBorder="1" applyAlignment="1" applyProtection="1">
      <alignment horizontal="left"/>
      <protection/>
    </xf>
    <xf numFmtId="169" fontId="7" fillId="0" borderId="80" xfId="0" applyNumberFormat="1" applyFont="1" applyFill="1" applyBorder="1" applyAlignment="1" applyProtection="1">
      <alignment horizontal="left"/>
      <protection/>
    </xf>
    <xf numFmtId="169" fontId="7" fillId="0" borderId="68" xfId="0" applyNumberFormat="1" applyFont="1" applyFill="1" applyBorder="1" applyAlignment="1" applyProtection="1">
      <alignment horizontal="left"/>
      <protection/>
    </xf>
    <xf numFmtId="0" fontId="3" fillId="0" borderId="80" xfId="0" applyFont="1" applyFill="1" applyBorder="1" applyAlignment="1">
      <alignment horizontal="left"/>
    </xf>
    <xf numFmtId="0" fontId="3" fillId="0" borderId="81" xfId="0" applyFont="1" applyFill="1" applyBorder="1" applyAlignment="1">
      <alignment horizontal="left"/>
    </xf>
    <xf numFmtId="0" fontId="3" fillId="0" borderId="33" xfId="0" applyFont="1" applyFill="1" applyBorder="1" applyAlignment="1">
      <alignment/>
    </xf>
    <xf numFmtId="0" fontId="70" fillId="0" borderId="55" xfId="0" applyFont="1" applyBorder="1" applyAlignment="1">
      <alignment horizontal="center"/>
    </xf>
    <xf numFmtId="2" fontId="3" fillId="0" borderId="26" xfId="0" applyNumberFormat="1" applyFont="1" applyFill="1" applyBorder="1" applyAlignment="1">
      <alignment horizontal="center"/>
    </xf>
    <xf numFmtId="0" fontId="72" fillId="0" borderId="26" xfId="0" applyFont="1" applyBorder="1" applyAlignment="1">
      <alignment/>
    </xf>
    <xf numFmtId="170" fontId="3" fillId="0" borderId="15" xfId="0" applyNumberFormat="1" applyFont="1" applyFill="1" applyBorder="1" applyAlignment="1" applyProtection="1">
      <alignment horizontal="center"/>
      <protection/>
    </xf>
    <xf numFmtId="0" fontId="0" fillId="0" borderId="15" xfId="0" applyFont="1" applyBorder="1" applyAlignment="1">
      <alignment horizontal="center" vertical="center" wrapText="1"/>
    </xf>
    <xf numFmtId="0" fontId="58" fillId="0" borderId="24" xfId="51" applyFont="1" applyBorder="1" applyAlignment="1">
      <alignment horizontal="center" vertical="center" wrapText="1"/>
    </xf>
    <xf numFmtId="0" fontId="0" fillId="0" borderId="58" xfId="0" applyFont="1" applyBorder="1" applyAlignment="1">
      <alignment horizontal="center" vertical="center" wrapText="1"/>
    </xf>
    <xf numFmtId="0" fontId="0" fillId="0" borderId="17" xfId="0" applyFont="1" applyBorder="1" applyAlignment="1">
      <alignment horizontal="center" vertical="center" wrapText="1"/>
    </xf>
    <xf numFmtId="0" fontId="58" fillId="0" borderId="33" xfId="51" applyFont="1" applyBorder="1" applyAlignment="1">
      <alignment horizontal="center" vertical="center" wrapText="1"/>
    </xf>
    <xf numFmtId="0" fontId="0" fillId="0" borderId="11" xfId="0" applyFont="1" applyBorder="1" applyAlignment="1">
      <alignment horizontal="center" vertical="center" wrapText="1"/>
    </xf>
    <xf numFmtId="0" fontId="3" fillId="0" borderId="0" xfId="0" applyFont="1" applyFill="1" applyAlignment="1">
      <alignment/>
    </xf>
    <xf numFmtId="0" fontId="0" fillId="0" borderId="17" xfId="0" applyBorder="1" applyAlignment="1">
      <alignment/>
    </xf>
    <xf numFmtId="0" fontId="70" fillId="0" borderId="17" xfId="0" applyFont="1" applyBorder="1" applyAlignment="1">
      <alignment horizontal="left" vertical="center"/>
    </xf>
    <xf numFmtId="0" fontId="70" fillId="0" borderId="15" xfId="0" applyFont="1" applyBorder="1" applyAlignment="1">
      <alignment horizontal="left" vertical="center"/>
    </xf>
    <xf numFmtId="0" fontId="70" fillId="0" borderId="58" xfId="0" applyFont="1" applyBorder="1" applyAlignment="1">
      <alignment horizontal="left" vertical="center"/>
    </xf>
    <xf numFmtId="0" fontId="70" fillId="0" borderId="58" xfId="0" applyFont="1" applyBorder="1" applyAlignment="1">
      <alignment horizontal="left" vertical="center" wrapText="1"/>
    </xf>
    <xf numFmtId="0" fontId="83" fillId="0" borderId="18" xfId="0" applyFont="1" applyBorder="1" applyAlignment="1">
      <alignment horizontal="center" vertical="center" wrapText="1"/>
    </xf>
    <xf numFmtId="0" fontId="83" fillId="0" borderId="17" xfId="0" applyFont="1" applyBorder="1" applyAlignment="1">
      <alignment horizontal="center" vertical="center" wrapText="1"/>
    </xf>
    <xf numFmtId="167" fontId="70" fillId="0" borderId="17" xfId="0" applyNumberFormat="1" applyFont="1" applyBorder="1" applyAlignment="1">
      <alignment horizontal="center" vertical="center" wrapText="1"/>
    </xf>
    <xf numFmtId="167" fontId="70" fillId="0" borderId="15" xfId="0" applyNumberFormat="1" applyFont="1" applyBorder="1" applyAlignment="1">
      <alignment horizontal="center" vertical="center" wrapText="1"/>
    </xf>
    <xf numFmtId="172" fontId="70" fillId="0" borderId="15" xfId="0" applyNumberFormat="1" applyFont="1" applyBorder="1" applyAlignment="1">
      <alignment horizontal="center" vertical="center" wrapText="1"/>
    </xf>
    <xf numFmtId="11" fontId="70" fillId="0" borderId="15" xfId="0" applyNumberFormat="1" applyFont="1" applyBorder="1" applyAlignment="1">
      <alignment horizontal="center" vertical="center" wrapText="1"/>
    </xf>
    <xf numFmtId="172" fontId="70" fillId="0" borderId="0" xfId="0" applyNumberFormat="1" applyFont="1" applyAlignment="1">
      <alignment horizontal="center"/>
    </xf>
    <xf numFmtId="0" fontId="83" fillId="0" borderId="19" xfId="0" applyFont="1" applyBorder="1" applyAlignment="1">
      <alignment horizontal="center" vertical="center" wrapText="1"/>
    </xf>
    <xf numFmtId="0" fontId="83" fillId="0" borderId="11" xfId="0" applyFont="1" applyBorder="1" applyAlignment="1">
      <alignment horizontal="center" vertical="center" wrapText="1"/>
    </xf>
    <xf numFmtId="0" fontId="70" fillId="0" borderId="0" xfId="0" applyFont="1" applyAlignment="1">
      <alignment horizontal="center"/>
    </xf>
    <xf numFmtId="0" fontId="70" fillId="0" borderId="15" xfId="0" applyFont="1" applyBorder="1" applyAlignment="1">
      <alignment horizontal="center" vertical="center" wrapText="1"/>
    </xf>
    <xf numFmtId="0" fontId="70" fillId="0" borderId="58" xfId="0" applyFont="1" applyBorder="1" applyAlignment="1">
      <alignment/>
    </xf>
    <xf numFmtId="0" fontId="70" fillId="0" borderId="15" xfId="0" applyFont="1" applyBorder="1" applyAlignment="1">
      <alignment/>
    </xf>
    <xf numFmtId="165" fontId="70" fillId="0" borderId="0" xfId="0" applyNumberFormat="1" applyFont="1" applyAlignment="1">
      <alignment/>
    </xf>
    <xf numFmtId="0" fontId="70" fillId="0" borderId="60" xfId="0" applyFont="1" applyBorder="1" applyAlignment="1">
      <alignment horizontal="center"/>
    </xf>
    <xf numFmtId="165" fontId="70" fillId="0" borderId="59" xfId="0" applyNumberFormat="1" applyFont="1" applyBorder="1" applyAlignment="1">
      <alignment horizontal="center"/>
    </xf>
    <xf numFmtId="0" fontId="68" fillId="0" borderId="0" xfId="0" applyFont="1" applyFill="1" applyAlignment="1">
      <alignment vertical="center" wrapText="1"/>
    </xf>
    <xf numFmtId="0" fontId="7" fillId="0" borderId="15" xfId="0" applyFont="1" applyFill="1" applyBorder="1" applyAlignment="1" applyProtection="1">
      <alignment horizontal="center"/>
      <protection/>
    </xf>
    <xf numFmtId="168" fontId="7" fillId="0" borderId="15" xfId="0" applyNumberFormat="1" applyFont="1" applyFill="1" applyBorder="1" applyAlignment="1" applyProtection="1">
      <alignment horizontal="center"/>
      <protection/>
    </xf>
    <xf numFmtId="169" fontId="7" fillId="0" borderId="15" xfId="0" applyNumberFormat="1" applyFont="1" applyFill="1" applyBorder="1" applyAlignment="1" applyProtection="1">
      <alignment horizontal="center"/>
      <protection/>
    </xf>
    <xf numFmtId="2" fontId="7" fillId="0" borderId="15" xfId="0" applyNumberFormat="1" applyFont="1" applyFill="1" applyBorder="1" applyAlignment="1" applyProtection="1">
      <alignment horizontal="center"/>
      <protection/>
    </xf>
    <xf numFmtId="2" fontId="3" fillId="32" borderId="15" xfId="0" applyNumberFormat="1" applyFont="1" applyFill="1" applyBorder="1" applyAlignment="1">
      <alignment horizontal="center"/>
    </xf>
    <xf numFmtId="168" fontId="7" fillId="32" borderId="15" xfId="0" applyNumberFormat="1" applyFont="1" applyFill="1" applyBorder="1" applyAlignment="1" applyProtection="1">
      <alignment horizontal="center"/>
      <protection/>
    </xf>
    <xf numFmtId="4" fontId="70" fillId="0" borderId="15" xfId="0" applyNumberFormat="1" applyFont="1" applyBorder="1" applyAlignment="1">
      <alignment horizontal="center"/>
    </xf>
    <xf numFmtId="0" fontId="7" fillId="0" borderId="35" xfId="0" applyFont="1" applyFill="1" applyBorder="1" applyAlignment="1" applyProtection="1">
      <alignment horizontal="center"/>
      <protection/>
    </xf>
    <xf numFmtId="0" fontId="3" fillId="0" borderId="35" xfId="0" applyFont="1" applyFill="1" applyBorder="1" applyAlignment="1">
      <alignment horizontal="center"/>
    </xf>
    <xf numFmtId="0" fontId="3" fillId="0" borderId="35" xfId="0" applyFont="1" applyFill="1" applyBorder="1" applyAlignment="1" applyProtection="1">
      <alignment horizontal="center"/>
      <protection/>
    </xf>
    <xf numFmtId="0" fontId="7" fillId="0" borderId="82" xfId="0" applyFont="1" applyFill="1" applyBorder="1" applyAlignment="1" applyProtection="1">
      <alignment horizontal="center"/>
      <protection/>
    </xf>
    <xf numFmtId="168" fontId="7" fillId="0" borderId="37" xfId="0" applyNumberFormat="1" applyFont="1" applyFill="1" applyBorder="1" applyAlignment="1" applyProtection="1">
      <alignment horizontal="center"/>
      <protection/>
    </xf>
    <xf numFmtId="169" fontId="7" fillId="0" borderId="37" xfId="0" applyNumberFormat="1" applyFont="1" applyFill="1" applyBorder="1" applyAlignment="1" applyProtection="1">
      <alignment horizontal="center"/>
      <protection/>
    </xf>
    <xf numFmtId="169" fontId="7" fillId="0" borderId="53" xfId="0" applyNumberFormat="1" applyFont="1" applyFill="1" applyBorder="1" applyAlignment="1" applyProtection="1">
      <alignment horizontal="center"/>
      <protection/>
    </xf>
    <xf numFmtId="169" fontId="7" fillId="0" borderId="41" xfId="0" applyNumberFormat="1" applyFont="1" applyFill="1" applyBorder="1" applyAlignment="1" applyProtection="1">
      <alignment horizontal="center"/>
      <protection/>
    </xf>
    <xf numFmtId="0" fontId="7" fillId="0" borderId="41" xfId="0" applyFont="1" applyFill="1" applyBorder="1" applyAlignment="1" applyProtection="1">
      <alignment horizontal="center"/>
      <protection/>
    </xf>
    <xf numFmtId="2" fontId="7" fillId="0" borderId="41" xfId="0" applyNumberFormat="1" applyFont="1" applyFill="1" applyBorder="1" applyAlignment="1" applyProtection="1">
      <alignment horizontal="center"/>
      <protection/>
    </xf>
    <xf numFmtId="0" fontId="3" fillId="0" borderId="41" xfId="0" applyFont="1" applyFill="1" applyBorder="1" applyAlignment="1" applyProtection="1">
      <alignment horizontal="left"/>
      <protection/>
    </xf>
    <xf numFmtId="0" fontId="7" fillId="32" borderId="15" xfId="0" applyFont="1" applyFill="1" applyBorder="1" applyAlignment="1" applyProtection="1">
      <alignment horizontal="center"/>
      <protection/>
    </xf>
    <xf numFmtId="2" fontId="7" fillId="32" borderId="15" xfId="0" applyNumberFormat="1" applyFont="1" applyFill="1" applyBorder="1" applyAlignment="1" applyProtection="1">
      <alignment horizontal="center"/>
      <protection/>
    </xf>
    <xf numFmtId="0" fontId="0" fillId="0" borderId="44" xfId="0" applyBorder="1" applyAlignment="1">
      <alignment/>
    </xf>
    <xf numFmtId="2" fontId="3" fillId="0" borderId="44" xfId="0" applyNumberFormat="1" applyFont="1" applyFill="1" applyBorder="1" applyAlignment="1">
      <alignment horizontal="center"/>
    </xf>
    <xf numFmtId="0" fontId="0" fillId="0" borderId="45" xfId="0" applyBorder="1" applyAlignment="1">
      <alignment horizontal="center"/>
    </xf>
    <xf numFmtId="0" fontId="77" fillId="0" borderId="71" xfId="0" applyFont="1" applyBorder="1" applyAlignment="1">
      <alignment horizontal="center" vertical="center" wrapText="1"/>
    </xf>
    <xf numFmtId="0" fontId="77" fillId="0" borderId="83" xfId="0" applyFont="1" applyBorder="1" applyAlignment="1">
      <alignment horizontal="center" vertical="center" wrapText="1"/>
    </xf>
    <xf numFmtId="0" fontId="77" fillId="0" borderId="84" xfId="0" applyFont="1" applyBorder="1" applyAlignment="1">
      <alignment horizontal="center" vertical="center" wrapText="1"/>
    </xf>
    <xf numFmtId="0" fontId="4" fillId="0" borderId="85" xfId="0" applyFont="1" applyFill="1" applyBorder="1" applyAlignment="1">
      <alignment horizontal="center" vertical="center"/>
    </xf>
    <xf numFmtId="0" fontId="3" fillId="0" borderId="85" xfId="0" applyFont="1" applyFill="1" applyBorder="1" applyAlignment="1">
      <alignment/>
    </xf>
    <xf numFmtId="0" fontId="58" fillId="0" borderId="0" xfId="51" applyFont="1" applyAlignment="1">
      <alignment horizontal="center"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68" fillId="0" borderId="0" xfId="0" applyFont="1" applyAlignment="1">
      <alignment vertical="center" wrapText="1"/>
    </xf>
    <xf numFmtId="0" fontId="7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xf>
    <xf numFmtId="0" fontId="58" fillId="0" borderId="0" xfId="51" applyAlignment="1">
      <alignment horizontal="center" vertical="center"/>
    </xf>
    <xf numFmtId="0" fontId="64" fillId="0" borderId="71" xfId="0" applyFont="1" applyBorder="1" applyAlignment="1">
      <alignment horizontal="center" vertical="center" wrapText="1"/>
    </xf>
    <xf numFmtId="0" fontId="64" fillId="0" borderId="83" xfId="0" applyFont="1" applyBorder="1" applyAlignment="1">
      <alignment horizontal="center" vertical="center" wrapText="1"/>
    </xf>
    <xf numFmtId="0" fontId="64" fillId="0" borderId="84" xfId="0" applyFont="1" applyBorder="1" applyAlignment="1">
      <alignment horizontal="center" vertical="center" wrapText="1"/>
    </xf>
    <xf numFmtId="0" fontId="58" fillId="0" borderId="85" xfId="51" applyBorder="1" applyAlignment="1">
      <alignment horizontal="center" vertical="center"/>
    </xf>
    <xf numFmtId="0" fontId="0" fillId="0" borderId="85" xfId="0" applyBorder="1" applyAlignment="1">
      <alignment/>
    </xf>
    <xf numFmtId="0" fontId="0" fillId="0" borderId="85" xfId="0" applyBorder="1" applyAlignment="1">
      <alignment horizontal="left" vertical="center"/>
    </xf>
    <xf numFmtId="0" fontId="0" fillId="0" borderId="85"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Calculation" xfId="39"/>
    <cellStyle name="Check Cell"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thermalfluidscentral.org/encyclopedia/index.php/Heat_of_Combustion" TargetMode="External" /><Relationship Id="rId3" Type="http://schemas.openxmlformats.org/officeDocument/2006/relationships/hyperlink" Target="http://www.thermalfluidscentral.org/encyclopedia/index.php/Heat_of_Combustion" TargetMode="External" /><Relationship Id="rId4" Type="http://schemas.openxmlformats.org/officeDocument/2006/relationships/image" Target="../media/image6.png" /><Relationship Id="rId5" Type="http://schemas.openxmlformats.org/officeDocument/2006/relationships/hyperlink" Target="http://www.thermalfluidscentral.org/encyclopedia/index.php/Heat_of_Combustion" TargetMode="External" /><Relationship Id="rId6" Type="http://schemas.openxmlformats.org/officeDocument/2006/relationships/hyperlink" Target="http://www.thermalfluidscentral.org/encyclopedia/index.php/Heat_of_Combustion" TargetMode="External" /><Relationship Id="rId7" Type="http://schemas.openxmlformats.org/officeDocument/2006/relationships/hyperlink" Target="http://www.thermalfluidscentral.org/encyclopedia/index.php/Heat_of_Combustion" TargetMode="External" /><Relationship Id="rId8" Type="http://schemas.openxmlformats.org/officeDocument/2006/relationships/hyperlink" Target="http://www.thermalfluidscentral.org/encyclopedia/index.php/Heat_of_Combustion" TargetMode="External" /><Relationship Id="rId9" Type="http://schemas.openxmlformats.org/officeDocument/2006/relationships/hyperlink" Target="http://www.thermalfluidscentral.org/encyclopedia/index.php/Heat_of_Combustion" TargetMode="External" /><Relationship Id="rId10" Type="http://schemas.openxmlformats.org/officeDocument/2006/relationships/hyperlink" Target="http://www.thermalfluidscentral.org/encyclopedia/index.php/Heat_of_Combustion" TargetMode="External" /><Relationship Id="rId11" Type="http://schemas.openxmlformats.org/officeDocument/2006/relationships/hyperlink" Target="http://www.thermalfluidscentral.org/encyclopedia/index.php/Heat_of_Combustion" TargetMode="External" /><Relationship Id="rId12" Type="http://schemas.openxmlformats.org/officeDocument/2006/relationships/hyperlink" Target="http://www.thermalfluidscentral.org/encyclopedia/index.php/Heat_of_Combustion" TargetMode="External" /><Relationship Id="rId13" Type="http://schemas.openxmlformats.org/officeDocument/2006/relationships/hyperlink" Target="http://www.thermalfluidscentral.org/encyclopedia/index.php/Heat_of_Combustion" TargetMode="External" /><Relationship Id="rId14" Type="http://schemas.openxmlformats.org/officeDocument/2006/relationships/hyperlink" Target="http://www.thermalfluidscentral.org/encyclopedia/index.php/Heat_of_Combustion" TargetMode="External" /><Relationship Id="rId15" Type="http://schemas.openxmlformats.org/officeDocument/2006/relationships/hyperlink" Target="http://www.thermalfluidscentral.org/encyclopedia/index.php/Heat_of_Combustion" TargetMode="External" /><Relationship Id="rId16" Type="http://schemas.openxmlformats.org/officeDocument/2006/relationships/hyperlink" Target="http://www.thermalfluidscentral.org/encyclopedia/index.php/Heat_of_Combustion" TargetMode="External" /><Relationship Id="rId17" Type="http://schemas.openxmlformats.org/officeDocument/2006/relationships/hyperlink" Target="http://www.thermalfluidscentral.org/encyclopedia/index.php/Heat_of_Combustion" TargetMode="External" /><Relationship Id="rId18" Type="http://schemas.openxmlformats.org/officeDocument/2006/relationships/hyperlink" Target="http://www.thermalfluidscentral.org/encyclopedia/index.php/Heat_of_Combustion" TargetMode="External" /><Relationship Id="rId19" Type="http://schemas.openxmlformats.org/officeDocument/2006/relationships/hyperlink" Target="http://www.thermalfluidscentral.org/encyclopedia/index.php/Heat_of_Combustion" TargetMode="External" /><Relationship Id="rId20" Type="http://schemas.openxmlformats.org/officeDocument/2006/relationships/hyperlink" Target="http://www.thermalfluidscentral.org/encyclopedia/index.php/Heat_of_Combustion"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571500</xdr:colOff>
      <xdr:row>118</xdr:row>
      <xdr:rowOff>76200</xdr:rowOff>
    </xdr:from>
    <xdr:to>
      <xdr:col>6</xdr:col>
      <xdr:colOff>276225</xdr:colOff>
      <xdr:row>144</xdr:row>
      <xdr:rowOff>104775</xdr:rowOff>
    </xdr:to>
    <xdr:pic>
      <xdr:nvPicPr>
        <xdr:cNvPr id="1" name="Picture 4"/>
        <xdr:cNvPicPr preferRelativeResize="1">
          <a:picLocks noChangeAspect="1"/>
        </xdr:cNvPicPr>
      </xdr:nvPicPr>
      <xdr:blipFill>
        <a:blip r:embed="rId1"/>
        <a:stretch>
          <a:fillRect/>
        </a:stretch>
      </xdr:blipFill>
      <xdr:spPr>
        <a:xfrm>
          <a:off x="923925" y="22050375"/>
          <a:ext cx="4295775" cy="4238625"/>
        </a:xfrm>
        <a:prstGeom prst="rect">
          <a:avLst/>
        </a:prstGeom>
        <a:noFill/>
        <a:ln w="9525" cmpd="sng">
          <a:noFill/>
        </a:ln>
      </xdr:spPr>
    </xdr:pic>
    <xdr:clientData/>
  </xdr:twoCellAnchor>
  <xdr:twoCellAnchor>
    <xdr:from>
      <xdr:col>3</xdr:col>
      <xdr:colOff>66675</xdr:colOff>
      <xdr:row>73</xdr:row>
      <xdr:rowOff>9525</xdr:rowOff>
    </xdr:from>
    <xdr:to>
      <xdr:col>3</xdr:col>
      <xdr:colOff>266700</xdr:colOff>
      <xdr:row>75</xdr:row>
      <xdr:rowOff>123825</xdr:rowOff>
    </xdr:to>
    <xdr:sp>
      <xdr:nvSpPr>
        <xdr:cNvPr id="2" name="Right Brace 1"/>
        <xdr:cNvSpPr>
          <a:spLocks/>
        </xdr:cNvSpPr>
      </xdr:nvSpPr>
      <xdr:spPr>
        <a:xfrm>
          <a:off x="2362200" y="13963650"/>
          <a:ext cx="200025" cy="466725"/>
        </a:xfrm>
        <a:prstGeom prst="rightBrace">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628650</xdr:colOff>
      <xdr:row>55</xdr:row>
      <xdr:rowOff>19050</xdr:rowOff>
    </xdr:from>
    <xdr:to>
      <xdr:col>10</xdr:col>
      <xdr:colOff>209550</xdr:colOff>
      <xdr:row>58</xdr:row>
      <xdr:rowOff>200025</xdr:rowOff>
    </xdr:to>
    <xdr:sp>
      <xdr:nvSpPr>
        <xdr:cNvPr id="3" name="Right Brace 3"/>
        <xdr:cNvSpPr>
          <a:spLocks/>
        </xdr:cNvSpPr>
      </xdr:nvSpPr>
      <xdr:spPr>
        <a:xfrm>
          <a:off x="7934325" y="9715500"/>
          <a:ext cx="209550" cy="752475"/>
        </a:xfrm>
        <a:prstGeom prst="rightBrace">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47625</xdr:colOff>
      <xdr:row>61</xdr:row>
      <xdr:rowOff>0</xdr:rowOff>
    </xdr:from>
    <xdr:to>
      <xdr:col>10</xdr:col>
      <xdr:colOff>371475</xdr:colOff>
      <xdr:row>68</xdr:row>
      <xdr:rowOff>85725</xdr:rowOff>
    </xdr:to>
    <xdr:sp>
      <xdr:nvSpPr>
        <xdr:cNvPr id="4" name="Right Brace 5"/>
        <xdr:cNvSpPr>
          <a:spLocks/>
        </xdr:cNvSpPr>
      </xdr:nvSpPr>
      <xdr:spPr>
        <a:xfrm>
          <a:off x="7981950" y="10868025"/>
          <a:ext cx="314325" cy="1562100"/>
        </a:xfrm>
        <a:prstGeom prst="rightBrace">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76</xdr:row>
      <xdr:rowOff>0</xdr:rowOff>
    </xdr:from>
    <xdr:to>
      <xdr:col>2</xdr:col>
      <xdr:colOff>114300</xdr:colOff>
      <xdr:row>76</xdr:row>
      <xdr:rowOff>133350</xdr:rowOff>
    </xdr:to>
    <xdr:pic>
      <xdr:nvPicPr>
        <xdr:cNvPr id="1" name="Picture 11" descr="↓">
          <a:hlinkClick r:id="rId3"/>
        </xdr:cNvPr>
        <xdr:cNvPicPr preferRelativeResize="1">
          <a:picLocks noChangeAspect="1"/>
        </xdr:cNvPicPr>
      </xdr:nvPicPr>
      <xdr:blipFill>
        <a:blip r:embed="rId1"/>
        <a:stretch>
          <a:fillRect/>
        </a:stretch>
      </xdr:blipFill>
      <xdr:spPr>
        <a:xfrm>
          <a:off x="590550" y="14668500"/>
          <a:ext cx="114300" cy="133350"/>
        </a:xfrm>
        <a:prstGeom prst="rect">
          <a:avLst/>
        </a:prstGeom>
        <a:noFill/>
        <a:ln w="9525" cmpd="sng">
          <a:noFill/>
        </a:ln>
      </xdr:spPr>
    </xdr:pic>
    <xdr:clientData/>
  </xdr:twoCellAnchor>
  <xdr:twoCellAnchor editAs="oneCell">
    <xdr:from>
      <xdr:col>3</xdr:col>
      <xdr:colOff>0</xdr:colOff>
      <xdr:row>76</xdr:row>
      <xdr:rowOff>0</xdr:rowOff>
    </xdr:from>
    <xdr:to>
      <xdr:col>3</xdr:col>
      <xdr:colOff>114300</xdr:colOff>
      <xdr:row>76</xdr:row>
      <xdr:rowOff>133350</xdr:rowOff>
    </xdr:to>
    <xdr:pic>
      <xdr:nvPicPr>
        <xdr:cNvPr id="2" name="Picture 12" descr="↓">
          <a:hlinkClick r:id="rId6"/>
        </xdr:cNvPr>
        <xdr:cNvPicPr preferRelativeResize="1">
          <a:picLocks noChangeAspect="1"/>
        </xdr:cNvPicPr>
      </xdr:nvPicPr>
      <xdr:blipFill>
        <a:blip r:embed="rId4"/>
        <a:stretch>
          <a:fillRect/>
        </a:stretch>
      </xdr:blipFill>
      <xdr:spPr>
        <a:xfrm>
          <a:off x="1447800" y="14668500"/>
          <a:ext cx="114300" cy="133350"/>
        </a:xfrm>
        <a:prstGeom prst="rect">
          <a:avLst/>
        </a:prstGeom>
        <a:noFill/>
        <a:ln w="9525" cmpd="sng">
          <a:noFill/>
        </a:ln>
      </xdr:spPr>
    </xdr:pic>
    <xdr:clientData/>
  </xdr:twoCellAnchor>
  <xdr:twoCellAnchor editAs="oneCell">
    <xdr:from>
      <xdr:col>4</xdr:col>
      <xdr:colOff>0</xdr:colOff>
      <xdr:row>76</xdr:row>
      <xdr:rowOff>0</xdr:rowOff>
    </xdr:from>
    <xdr:to>
      <xdr:col>4</xdr:col>
      <xdr:colOff>114300</xdr:colOff>
      <xdr:row>76</xdr:row>
      <xdr:rowOff>133350</xdr:rowOff>
    </xdr:to>
    <xdr:pic>
      <xdr:nvPicPr>
        <xdr:cNvPr id="3" name="Picture 13" descr="↓">
          <a:hlinkClick r:id="rId8"/>
        </xdr:cNvPr>
        <xdr:cNvPicPr preferRelativeResize="1">
          <a:picLocks noChangeAspect="1"/>
        </xdr:cNvPicPr>
      </xdr:nvPicPr>
      <xdr:blipFill>
        <a:blip r:embed="rId4"/>
        <a:stretch>
          <a:fillRect/>
        </a:stretch>
      </xdr:blipFill>
      <xdr:spPr>
        <a:xfrm>
          <a:off x="2057400" y="14668500"/>
          <a:ext cx="114300" cy="133350"/>
        </a:xfrm>
        <a:prstGeom prst="rect">
          <a:avLst/>
        </a:prstGeom>
        <a:noFill/>
        <a:ln w="9525" cmpd="sng">
          <a:noFill/>
        </a:ln>
      </xdr:spPr>
    </xdr:pic>
    <xdr:clientData/>
  </xdr:twoCellAnchor>
  <xdr:twoCellAnchor editAs="oneCell">
    <xdr:from>
      <xdr:col>5</xdr:col>
      <xdr:colOff>0</xdr:colOff>
      <xdr:row>76</xdr:row>
      <xdr:rowOff>0</xdr:rowOff>
    </xdr:from>
    <xdr:to>
      <xdr:col>5</xdr:col>
      <xdr:colOff>114300</xdr:colOff>
      <xdr:row>76</xdr:row>
      <xdr:rowOff>133350</xdr:rowOff>
    </xdr:to>
    <xdr:pic>
      <xdr:nvPicPr>
        <xdr:cNvPr id="4" name="Picture 14" descr="↓">
          <a:hlinkClick r:id="rId10"/>
        </xdr:cNvPr>
        <xdr:cNvPicPr preferRelativeResize="1">
          <a:picLocks noChangeAspect="1"/>
        </xdr:cNvPicPr>
      </xdr:nvPicPr>
      <xdr:blipFill>
        <a:blip r:embed="rId4"/>
        <a:stretch>
          <a:fillRect/>
        </a:stretch>
      </xdr:blipFill>
      <xdr:spPr>
        <a:xfrm>
          <a:off x="2667000" y="14668500"/>
          <a:ext cx="114300" cy="133350"/>
        </a:xfrm>
        <a:prstGeom prst="rect">
          <a:avLst/>
        </a:prstGeom>
        <a:noFill/>
        <a:ln w="9525" cmpd="sng">
          <a:noFill/>
        </a:ln>
      </xdr:spPr>
    </xdr:pic>
    <xdr:clientData/>
  </xdr:twoCellAnchor>
  <xdr:twoCellAnchor editAs="oneCell">
    <xdr:from>
      <xdr:col>6</xdr:col>
      <xdr:colOff>0</xdr:colOff>
      <xdr:row>76</xdr:row>
      <xdr:rowOff>0</xdr:rowOff>
    </xdr:from>
    <xdr:to>
      <xdr:col>6</xdr:col>
      <xdr:colOff>114300</xdr:colOff>
      <xdr:row>76</xdr:row>
      <xdr:rowOff>133350</xdr:rowOff>
    </xdr:to>
    <xdr:pic>
      <xdr:nvPicPr>
        <xdr:cNvPr id="5" name="Picture 15" descr="↓">
          <a:hlinkClick r:id="rId12"/>
        </xdr:cNvPr>
        <xdr:cNvPicPr preferRelativeResize="1">
          <a:picLocks noChangeAspect="1"/>
        </xdr:cNvPicPr>
      </xdr:nvPicPr>
      <xdr:blipFill>
        <a:blip r:embed="rId4"/>
        <a:stretch>
          <a:fillRect/>
        </a:stretch>
      </xdr:blipFill>
      <xdr:spPr>
        <a:xfrm>
          <a:off x="3276600" y="14668500"/>
          <a:ext cx="114300" cy="133350"/>
        </a:xfrm>
        <a:prstGeom prst="rect">
          <a:avLst/>
        </a:prstGeom>
        <a:noFill/>
        <a:ln w="9525" cmpd="sng">
          <a:noFill/>
        </a:ln>
      </xdr:spPr>
    </xdr:pic>
    <xdr:clientData/>
  </xdr:twoCellAnchor>
  <xdr:twoCellAnchor editAs="oneCell">
    <xdr:from>
      <xdr:col>2</xdr:col>
      <xdr:colOff>0</xdr:colOff>
      <xdr:row>100</xdr:row>
      <xdr:rowOff>0</xdr:rowOff>
    </xdr:from>
    <xdr:to>
      <xdr:col>2</xdr:col>
      <xdr:colOff>114300</xdr:colOff>
      <xdr:row>100</xdr:row>
      <xdr:rowOff>247650</xdr:rowOff>
    </xdr:to>
    <xdr:pic>
      <xdr:nvPicPr>
        <xdr:cNvPr id="6" name="Picture 16" descr="↓">
          <a:hlinkClick r:id="rId14"/>
        </xdr:cNvPr>
        <xdr:cNvPicPr preferRelativeResize="1">
          <a:picLocks noChangeAspect="1"/>
        </xdr:cNvPicPr>
      </xdr:nvPicPr>
      <xdr:blipFill>
        <a:blip r:embed="rId4"/>
        <a:stretch>
          <a:fillRect/>
        </a:stretch>
      </xdr:blipFill>
      <xdr:spPr>
        <a:xfrm>
          <a:off x="590550" y="18583275"/>
          <a:ext cx="114300" cy="247650"/>
        </a:xfrm>
        <a:prstGeom prst="rect">
          <a:avLst/>
        </a:prstGeom>
        <a:noFill/>
        <a:ln w="9525" cmpd="sng">
          <a:noFill/>
        </a:ln>
      </xdr:spPr>
    </xdr:pic>
    <xdr:clientData/>
  </xdr:twoCellAnchor>
  <xdr:twoCellAnchor editAs="oneCell">
    <xdr:from>
      <xdr:col>3</xdr:col>
      <xdr:colOff>0</xdr:colOff>
      <xdr:row>100</xdr:row>
      <xdr:rowOff>0</xdr:rowOff>
    </xdr:from>
    <xdr:to>
      <xdr:col>3</xdr:col>
      <xdr:colOff>114300</xdr:colOff>
      <xdr:row>100</xdr:row>
      <xdr:rowOff>247650</xdr:rowOff>
    </xdr:to>
    <xdr:pic>
      <xdr:nvPicPr>
        <xdr:cNvPr id="7" name="Picture 17" descr="↓">
          <a:hlinkClick r:id="rId16"/>
        </xdr:cNvPr>
        <xdr:cNvPicPr preferRelativeResize="1">
          <a:picLocks noChangeAspect="1"/>
        </xdr:cNvPicPr>
      </xdr:nvPicPr>
      <xdr:blipFill>
        <a:blip r:embed="rId4"/>
        <a:stretch>
          <a:fillRect/>
        </a:stretch>
      </xdr:blipFill>
      <xdr:spPr>
        <a:xfrm>
          <a:off x="1447800" y="18583275"/>
          <a:ext cx="114300" cy="247650"/>
        </a:xfrm>
        <a:prstGeom prst="rect">
          <a:avLst/>
        </a:prstGeom>
        <a:noFill/>
        <a:ln w="9525" cmpd="sng">
          <a:noFill/>
        </a:ln>
      </xdr:spPr>
    </xdr:pic>
    <xdr:clientData/>
  </xdr:twoCellAnchor>
  <xdr:twoCellAnchor editAs="oneCell">
    <xdr:from>
      <xdr:col>4</xdr:col>
      <xdr:colOff>0</xdr:colOff>
      <xdr:row>100</xdr:row>
      <xdr:rowOff>0</xdr:rowOff>
    </xdr:from>
    <xdr:to>
      <xdr:col>4</xdr:col>
      <xdr:colOff>114300</xdr:colOff>
      <xdr:row>100</xdr:row>
      <xdr:rowOff>247650</xdr:rowOff>
    </xdr:to>
    <xdr:pic>
      <xdr:nvPicPr>
        <xdr:cNvPr id="8" name="Picture 18" descr="↓">
          <a:hlinkClick r:id="rId18"/>
        </xdr:cNvPr>
        <xdr:cNvPicPr preferRelativeResize="1">
          <a:picLocks noChangeAspect="1"/>
        </xdr:cNvPicPr>
      </xdr:nvPicPr>
      <xdr:blipFill>
        <a:blip r:embed="rId4"/>
        <a:stretch>
          <a:fillRect/>
        </a:stretch>
      </xdr:blipFill>
      <xdr:spPr>
        <a:xfrm>
          <a:off x="2057400" y="18583275"/>
          <a:ext cx="114300" cy="247650"/>
        </a:xfrm>
        <a:prstGeom prst="rect">
          <a:avLst/>
        </a:prstGeom>
        <a:noFill/>
        <a:ln w="9525" cmpd="sng">
          <a:noFill/>
        </a:ln>
      </xdr:spPr>
    </xdr:pic>
    <xdr:clientData/>
  </xdr:twoCellAnchor>
  <xdr:twoCellAnchor editAs="oneCell">
    <xdr:from>
      <xdr:col>5</xdr:col>
      <xdr:colOff>0</xdr:colOff>
      <xdr:row>100</xdr:row>
      <xdr:rowOff>0</xdr:rowOff>
    </xdr:from>
    <xdr:to>
      <xdr:col>5</xdr:col>
      <xdr:colOff>114300</xdr:colOff>
      <xdr:row>100</xdr:row>
      <xdr:rowOff>247650</xdr:rowOff>
    </xdr:to>
    <xdr:pic>
      <xdr:nvPicPr>
        <xdr:cNvPr id="9" name="Picture 19" descr="↓">
          <a:hlinkClick r:id="rId20"/>
        </xdr:cNvPr>
        <xdr:cNvPicPr preferRelativeResize="1">
          <a:picLocks noChangeAspect="1"/>
        </xdr:cNvPicPr>
      </xdr:nvPicPr>
      <xdr:blipFill>
        <a:blip r:embed="rId4"/>
        <a:stretch>
          <a:fillRect/>
        </a:stretch>
      </xdr:blipFill>
      <xdr:spPr>
        <a:xfrm>
          <a:off x="2667000" y="18583275"/>
          <a:ext cx="1143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hermofluids.net/" TargetMode="External" /><Relationship Id="rId2" Type="http://schemas.openxmlformats.org/officeDocument/2006/relationships/hyperlink" Target="http://www.engineeringtoolbox.com/gross-net-heating-value-d_824.html" TargetMode="External" /><Relationship Id="rId3" Type="http://schemas.openxmlformats.org/officeDocument/2006/relationships/hyperlink" Target="http://www.engineeringtoolbox.com/gross-net-heating-value-d_824.html" TargetMode="External" /><Relationship Id="rId4" Type="http://schemas.openxmlformats.org/officeDocument/2006/relationships/hyperlink" Target="http://www.thermalfluidscentral.org/encyclopedia/index.php/Heat_of_Combustion" TargetMode="External" /><Relationship Id="rId5" Type="http://schemas.openxmlformats.org/officeDocument/2006/relationships/hyperlink" Target="https://en.wikipedia.org/wiki/Megajoule" TargetMode="External" /><Relationship Id="rId6" Type="http://schemas.openxmlformats.org/officeDocument/2006/relationships/hyperlink" Target="https://en.wikipedia.org/wiki/Hydrogen" TargetMode="External" /><Relationship Id="rId7" Type="http://schemas.openxmlformats.org/officeDocument/2006/relationships/hyperlink" Target="https://en.wikipedia.org/wiki/Methane" TargetMode="External" /><Relationship Id="rId8" Type="http://schemas.openxmlformats.org/officeDocument/2006/relationships/hyperlink" Target="https://en.wikipedia.org/wiki/Ethane" TargetMode="External" /><Relationship Id="rId9" Type="http://schemas.openxmlformats.org/officeDocument/2006/relationships/hyperlink" Target="https://en.wikipedia.org/wiki/Propane" TargetMode="External" /><Relationship Id="rId10" Type="http://schemas.openxmlformats.org/officeDocument/2006/relationships/hyperlink" Target="https://en.wikipedia.org/wiki/Butane" TargetMode="External" /><Relationship Id="rId11" Type="http://schemas.openxmlformats.org/officeDocument/2006/relationships/hyperlink" Target="https://en.wikipedia.org/wiki/Pentane" TargetMode="External" /><Relationship Id="rId12" Type="http://schemas.openxmlformats.org/officeDocument/2006/relationships/hyperlink" Target="http://webbook.nist.gov/chemistry" TargetMode="External" /><Relationship Id="rId13" Type="http://schemas.openxmlformats.org/officeDocument/2006/relationships/oleObject" Target="../embeddings/oleObject_2_0.bin" /><Relationship Id="rId14" Type="http://schemas.openxmlformats.org/officeDocument/2006/relationships/vmlDrawing" Target="../drawings/vmlDrawing1.vml" /><Relationship Id="rId1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www.thermalfluidscentral.org/encyclopedia/index.php/Heat_of_Combustion#References" TargetMode="External" /><Relationship Id="rId2" Type="http://schemas.openxmlformats.org/officeDocument/2006/relationships/hyperlink" Target="http://www.thermalfluidscentral.org/encyclopedia/index.php/Heat_of_Combustion" TargetMode="External" /><Relationship Id="rId3" Type="http://schemas.openxmlformats.org/officeDocument/2006/relationships/hyperlink" Target="http://www.thermalfluidscentral.org/encyclopedia/index.php/Heat_of_Combustion" TargetMode="External" /><Relationship Id="rId4" Type="http://schemas.openxmlformats.org/officeDocument/2006/relationships/hyperlink" Target="http://www.thermalfluidscentral.org/encyclopedia/index.php/Heat_of_Combustion" TargetMode="External" /><Relationship Id="rId5" Type="http://schemas.openxmlformats.org/officeDocument/2006/relationships/hyperlink" Target="http://www.thermalfluidscentral.org/encyclopedia/index.php/Heat_of_Combustion" TargetMode="External" /><Relationship Id="rId6" Type="http://schemas.openxmlformats.org/officeDocument/2006/relationships/hyperlink" Target="http://www.thermalfluidscentral.org/encyclopedia/index.php/Heat_of_Combustion" TargetMode="External" /><Relationship Id="rId7" Type="http://schemas.openxmlformats.org/officeDocument/2006/relationships/hyperlink" Target="http://www.thermalfluidscentral.org/encyclopedia/index.php/Heat_of_Combustion" TargetMode="External" /><Relationship Id="rId8" Type="http://schemas.openxmlformats.org/officeDocument/2006/relationships/hyperlink" Target="http://www.thermalfluidscentral.org/encyclopedia/index.php/Heat_of_Combustion" TargetMode="External" /><Relationship Id="rId9" Type="http://schemas.openxmlformats.org/officeDocument/2006/relationships/hyperlink" Target="http://www.thermalfluidscentral.org/encyclopedia/index.php/Heat_of_Combustion" TargetMode="External" /><Relationship Id="rId10" Type="http://schemas.openxmlformats.org/officeDocument/2006/relationships/hyperlink" Target="http://webbook.nist.gov/chemistry" TargetMode="External" /><Relationship Id="rId11" Type="http://schemas.openxmlformats.org/officeDocument/2006/relationships/hyperlink" Target="http://en.wikipedia.org/wiki/Heat_of_combustion" TargetMode="External" /><Relationship Id="rId12" Type="http://schemas.openxmlformats.org/officeDocument/2006/relationships/hyperlink" Target="http://webbook.nist.gov/chemistry/" TargetMode="External" /><Relationship Id="rId13" Type="http://schemas.openxmlformats.org/officeDocument/2006/relationships/hyperlink" Target="http://www.wendellhull.com/" TargetMode="External" /><Relationship Id="rId14" Type="http://schemas.openxmlformats.org/officeDocument/2006/relationships/hyperlink" Target="http://en.wikipedia.org/wiki/Wikipedia:General_disclaimer" TargetMode="External" /><Relationship Id="rId15" Type="http://schemas.openxmlformats.org/officeDocument/2006/relationships/hyperlink" Target="https://en.wikipedia.org/wiki/Heat_of_combustion#cite_note-NIST-4" TargetMode="External" /><Relationship Id="rId16" Type="http://schemas.openxmlformats.org/officeDocument/2006/relationships/hyperlink" Target="https://en.wikipedia.org/wiki/Megajoule" TargetMode="External" /><Relationship Id="rId17" Type="http://schemas.openxmlformats.org/officeDocument/2006/relationships/hyperlink" Target="https://en.wikipedia.org/wiki/Hydrogen" TargetMode="External" /><Relationship Id="rId18" Type="http://schemas.openxmlformats.org/officeDocument/2006/relationships/hyperlink" Target="https://en.wikipedia.org/wiki/Methane" TargetMode="External" /><Relationship Id="rId19" Type="http://schemas.openxmlformats.org/officeDocument/2006/relationships/hyperlink" Target="https://en.wikipedia.org/wiki/Ethane" TargetMode="External" /><Relationship Id="rId20" Type="http://schemas.openxmlformats.org/officeDocument/2006/relationships/hyperlink" Target="https://en.wikipedia.org/wiki/Propane" TargetMode="External" /><Relationship Id="rId21" Type="http://schemas.openxmlformats.org/officeDocument/2006/relationships/hyperlink" Target="https://en.wikipedia.org/wiki/Butane" TargetMode="External" /><Relationship Id="rId22" Type="http://schemas.openxmlformats.org/officeDocument/2006/relationships/hyperlink" Target="https://en.wikipedia.org/wiki/Pentane" TargetMode="External" /><Relationship Id="rId23" Type="http://schemas.openxmlformats.org/officeDocument/2006/relationships/oleObject" Target="../embeddings/oleObject_3_0.bin" /><Relationship Id="rId24" Type="http://schemas.openxmlformats.org/officeDocument/2006/relationships/oleObject" Target="../embeddings/oleObject_3_1.bin" /><Relationship Id="rId25" Type="http://schemas.openxmlformats.org/officeDocument/2006/relationships/vmlDrawing" Target="../drawings/vmlDrawing2.vml" /><Relationship Id="rId26" Type="http://schemas.openxmlformats.org/officeDocument/2006/relationships/drawing" Target="../drawings/drawing2.xml" /><Relationship Id="rId27"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oogle.cl/url?sa=t&amp;rct=j&amp;q=&amp;esrc=s&amp;source=web&amp;cd=13&amp;cad=rja&amp;ved=0CEoQFjACOAo&amp;url=http%3A%2F%2Fwww.chem.mtu.edu%2F%7Ecrowl%2FCM3110%2FLecture19.ppt&amp;ei=gDV-UruTGLTTsAT93YGgAg&amp;usg=AFQjCNEGRnuDeS_PnjE0-xC7qyruTB7-jQ&amp;bvm=bv.56146854,d.cWc" TargetMode="External" /><Relationship Id="rId2" Type="http://schemas.openxmlformats.org/officeDocument/2006/relationships/hyperlink" Target="http://translate.google.cl/translate?hl=es-419&amp;sl=en&amp;u=http://www.chem.mtu.edu/%7Ecrowl/CM3110/Lecture19.ppt&amp;prev=/search%3Fq%3Dsteam%2Bpipe%2Bconvection%26start%3D10%26sa%3DN%26biw%3D1920%26bih%3D888" TargetMode="External" /><Relationship Id="rId3" Type="http://schemas.openxmlformats.org/officeDocument/2006/relationships/hyperlink" Target="http://www.thermalfluidscentral.org/e-resources/download.php?id=??" TargetMode="External" /><Relationship Id="rId4" Type="http://schemas.openxmlformats.org/officeDocument/2006/relationships/hyperlink" Target="http://www.mace.manchester.ac.uk/aboutus/staff/academic/profile/index.html?staffId=15" TargetMode="External" /><Relationship Id="rId5" Type="http://schemas.openxmlformats.org/officeDocument/2006/relationships/hyperlink" Target="mailto:cjcruz@vtr.net" TargetMode="External" /><Relationship Id="rId6" Type="http://schemas.openxmlformats.org/officeDocument/2006/relationships/hyperlink" Target="http://www.engineeringtoolbox.com/flow-velocity-steam-pipes-d_386.html" TargetMode="External" /><Relationship Id="rId7" Type="http://schemas.openxmlformats.org/officeDocument/2006/relationships/hyperlink" Target="http://www.insulation.org/pdf/Insulation_Materials_Spec_Chart_Updated_March_2015.pdf" TargetMode="External" /></Relationships>
</file>

<file path=xl/worksheets/sheet1.xml><?xml version="1.0" encoding="utf-8"?>
<worksheet xmlns="http://schemas.openxmlformats.org/spreadsheetml/2006/main" xmlns:r="http://schemas.openxmlformats.org/officeDocument/2006/relationships">
  <sheetPr codeName="Sheet1"/>
  <dimension ref="D4:J23"/>
  <sheetViews>
    <sheetView showGridLines="0" zoomScalePageLayoutView="0" workbookViewId="0" topLeftCell="A1">
      <selection activeCell="H29" sqref="H29"/>
    </sheetView>
  </sheetViews>
  <sheetFormatPr defaultColWidth="9.140625" defaultRowHeight="15"/>
  <cols>
    <col min="1" max="1" width="6.00390625" style="177" customWidth="1"/>
    <col min="2" max="2" width="6.00390625" style="0" customWidth="1"/>
  </cols>
  <sheetData>
    <row r="4" ht="15">
      <c r="D4" s="266" t="s">
        <v>476</v>
      </c>
    </row>
    <row r="5" ht="14.25">
      <c r="D5" s="265" t="s">
        <v>553</v>
      </c>
    </row>
    <row r="6" ht="14.25">
      <c r="D6" t="s">
        <v>3</v>
      </c>
    </row>
    <row r="7" ht="14.25">
      <c r="D7" t="s">
        <v>531</v>
      </c>
    </row>
    <row r="8" spans="4:10" ht="14.25">
      <c r="D8" t="s">
        <v>543</v>
      </c>
      <c r="J8" t="s">
        <v>535</v>
      </c>
    </row>
    <row r="9" spans="4:10" ht="14.25">
      <c r="D9" t="s">
        <v>532</v>
      </c>
      <c r="J9" t="s">
        <v>548</v>
      </c>
    </row>
    <row r="10" spans="4:10" ht="14.25">
      <c r="D10" t="s">
        <v>505</v>
      </c>
      <c r="J10" t="s">
        <v>536</v>
      </c>
    </row>
    <row r="11" spans="4:10" ht="14.25">
      <c r="D11" s="264" t="s">
        <v>529</v>
      </c>
      <c r="J11" t="s">
        <v>537</v>
      </c>
    </row>
    <row r="12" ht="14.25">
      <c r="J12" s="264" t="s">
        <v>530</v>
      </c>
    </row>
    <row r="13" ht="14.25">
      <c r="D13" t="s">
        <v>533</v>
      </c>
    </row>
    <row r="14" spans="4:10" ht="14.25">
      <c r="D14" t="s">
        <v>539</v>
      </c>
      <c r="J14" t="s">
        <v>538</v>
      </c>
    </row>
    <row r="15" spans="4:10" ht="14.25">
      <c r="D15" t="s">
        <v>540</v>
      </c>
      <c r="J15" t="s">
        <v>549</v>
      </c>
    </row>
    <row r="16" spans="4:10" ht="14.25">
      <c r="D16" t="s">
        <v>541</v>
      </c>
      <c r="J16" t="s">
        <v>550</v>
      </c>
    </row>
    <row r="17" spans="4:10" ht="14.25">
      <c r="D17" s="264" t="s">
        <v>542</v>
      </c>
      <c r="J17" t="s">
        <v>551</v>
      </c>
    </row>
    <row r="18" ht="14.25">
      <c r="J18" s="264" t="s">
        <v>552</v>
      </c>
    </row>
    <row r="19" ht="14.25">
      <c r="D19" t="s">
        <v>534</v>
      </c>
    </row>
    <row r="20" ht="14.25">
      <c r="D20" t="s">
        <v>544</v>
      </c>
    </row>
    <row r="21" ht="14.25">
      <c r="D21" t="s">
        <v>545</v>
      </c>
    </row>
    <row r="22" ht="14.25">
      <c r="D22" t="s">
        <v>546</v>
      </c>
    </row>
    <row r="23" ht="14.25">
      <c r="D23" s="264" t="s">
        <v>547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B1:W27"/>
  <sheetViews>
    <sheetView showGridLines="0" tabSelected="1" zoomScalePageLayoutView="0" workbookViewId="0" topLeftCell="A1">
      <selection activeCell="N3" sqref="N3"/>
    </sheetView>
  </sheetViews>
  <sheetFormatPr defaultColWidth="9.140625" defaultRowHeight="15"/>
  <cols>
    <col min="1" max="1" width="3.421875" style="144" customWidth="1"/>
    <col min="2" max="2" width="5.57421875" style="144" customWidth="1"/>
    <col min="3" max="3" width="8.8515625" style="144" customWidth="1"/>
    <col min="4" max="4" width="9.57421875" style="144" bestFit="1" customWidth="1"/>
    <col min="5" max="7" width="8.8515625" style="144" customWidth="1"/>
    <col min="8" max="8" width="9.8515625" style="144" customWidth="1"/>
    <col min="9" max="11" width="8.8515625" style="144" customWidth="1"/>
    <col min="12" max="12" width="10.140625" style="144" customWidth="1"/>
    <col min="13" max="14" width="9.28125" style="144" customWidth="1"/>
    <col min="15" max="15" width="8.8515625" style="144" customWidth="1"/>
    <col min="16" max="16" width="8.7109375" style="144" customWidth="1"/>
    <col min="17" max="17" width="8.8515625" style="144" customWidth="1"/>
    <col min="18" max="18" width="9.7109375" style="144" customWidth="1"/>
    <col min="19" max="22" width="8.8515625" style="144" customWidth="1"/>
    <col min="23" max="23" width="6.8515625" style="8" customWidth="1"/>
    <col min="24" max="16384" width="8.8515625" style="144" customWidth="1"/>
  </cols>
  <sheetData>
    <row r="1" ht="15" thickBot="1">
      <c r="W1" s="263" t="s">
        <v>528</v>
      </c>
    </row>
    <row r="2" spans="2:23" ht="15" thickTop="1">
      <c r="B2" s="43"/>
      <c r="C2" s="44"/>
      <c r="D2" s="44"/>
      <c r="E2" s="44"/>
      <c r="F2" s="151"/>
      <c r="G2" s="44"/>
      <c r="H2" s="44"/>
      <c r="I2" s="44"/>
      <c r="J2" s="44"/>
      <c r="K2" s="149"/>
      <c r="L2" s="44"/>
      <c r="M2" s="44"/>
      <c r="N2" s="44"/>
      <c r="O2" s="44"/>
      <c r="P2" s="44"/>
      <c r="Q2" s="44"/>
      <c r="R2" s="44"/>
      <c r="S2" s="44"/>
      <c r="T2" s="44"/>
      <c r="U2" s="44"/>
      <c r="V2" s="44"/>
      <c r="W2" s="145"/>
    </row>
    <row r="3" spans="2:23" ht="14.25">
      <c r="B3" s="42"/>
      <c r="C3" s="261" t="s">
        <v>527</v>
      </c>
      <c r="D3" s="139"/>
      <c r="E3" s="139"/>
      <c r="F3" s="127"/>
      <c r="G3" s="139"/>
      <c r="H3" s="139"/>
      <c r="I3" s="139"/>
      <c r="J3" s="139"/>
      <c r="K3" s="174"/>
      <c r="L3" s="174"/>
      <c r="M3" s="174"/>
      <c r="N3" s="174"/>
      <c r="O3" s="174"/>
      <c r="P3" s="174"/>
      <c r="Q3" s="174"/>
      <c r="R3" s="139"/>
      <c r="S3" s="139"/>
      <c r="T3" s="139"/>
      <c r="U3" s="139"/>
      <c r="V3" s="139"/>
      <c r="W3" s="146"/>
    </row>
    <row r="4" spans="2:23" ht="14.25">
      <c r="B4" s="42"/>
      <c r="C4" s="139"/>
      <c r="D4" s="139"/>
      <c r="E4" s="139"/>
      <c r="F4" s="139"/>
      <c r="G4" s="139"/>
      <c r="H4" s="139"/>
      <c r="I4" s="139"/>
      <c r="J4" s="139"/>
      <c r="K4" s="174"/>
      <c r="L4" s="174"/>
      <c r="M4" s="139"/>
      <c r="N4" s="139"/>
      <c r="O4" s="139"/>
      <c r="P4" s="139"/>
      <c r="Q4" s="139"/>
      <c r="R4" s="139"/>
      <c r="S4" s="139"/>
      <c r="T4" s="139"/>
      <c r="U4" s="139"/>
      <c r="V4" s="139"/>
      <c r="W4" s="146"/>
    </row>
    <row r="5" spans="2:23" ht="14.25">
      <c r="B5" s="42"/>
      <c r="C5" s="139" t="s">
        <v>304</v>
      </c>
      <c r="D5" s="139"/>
      <c r="E5" s="139"/>
      <c r="F5" s="122"/>
      <c r="G5" s="139"/>
      <c r="H5" s="139" t="s">
        <v>304</v>
      </c>
      <c r="I5" s="139"/>
      <c r="J5" s="139"/>
      <c r="K5" s="174"/>
      <c r="L5" s="174"/>
      <c r="M5" s="139" t="s">
        <v>304</v>
      </c>
      <c r="N5" s="139"/>
      <c r="O5" s="139"/>
      <c r="P5" s="174"/>
      <c r="Q5" s="139"/>
      <c r="R5" s="139" t="s">
        <v>305</v>
      </c>
      <c r="S5" s="139"/>
      <c r="T5" s="139"/>
      <c r="U5" s="122"/>
      <c r="V5" s="139"/>
      <c r="W5" s="146"/>
    </row>
    <row r="6" spans="2:23" ht="14.25">
      <c r="B6" s="42"/>
      <c r="C6" s="139" t="s">
        <v>475</v>
      </c>
      <c r="D6" s="139"/>
      <c r="E6" s="139"/>
      <c r="F6" s="139"/>
      <c r="G6" s="139"/>
      <c r="H6" s="139" t="s">
        <v>475</v>
      </c>
      <c r="I6" s="139"/>
      <c r="J6" s="139"/>
      <c r="K6" s="139"/>
      <c r="L6" s="174"/>
      <c r="M6" s="139" t="s">
        <v>475</v>
      </c>
      <c r="N6" s="139"/>
      <c r="O6" s="139"/>
      <c r="P6" s="139"/>
      <c r="Q6" s="139"/>
      <c r="R6" s="139" t="s">
        <v>475</v>
      </c>
      <c r="S6" s="139"/>
      <c r="T6" s="139"/>
      <c r="U6" s="139"/>
      <c r="V6" s="139"/>
      <c r="W6" s="146"/>
    </row>
    <row r="7" spans="2:23" ht="14.25">
      <c r="B7" s="42"/>
      <c r="C7" s="150" t="s">
        <v>483</v>
      </c>
      <c r="D7" s="174">
        <v>25</v>
      </c>
      <c r="E7" s="139" t="s">
        <v>1</v>
      </c>
      <c r="F7" s="139"/>
      <c r="G7" s="139"/>
      <c r="H7" s="150" t="s">
        <v>484</v>
      </c>
      <c r="I7" s="174">
        <f>D7+Kelv</f>
        <v>298.15</v>
      </c>
      <c r="J7" s="139" t="s">
        <v>6</v>
      </c>
      <c r="K7" s="139"/>
      <c r="L7" s="174"/>
      <c r="M7" s="150" t="s">
        <v>484</v>
      </c>
      <c r="N7" s="174">
        <f>D7</f>
        <v>25</v>
      </c>
      <c r="O7" s="139" t="s">
        <v>1</v>
      </c>
      <c r="P7" s="139"/>
      <c r="Q7" s="139"/>
      <c r="R7" s="150" t="s">
        <v>30</v>
      </c>
      <c r="S7" s="174">
        <f>(D7*1.8+32)+Rank</f>
        <v>536.7</v>
      </c>
      <c r="T7" s="139" t="s">
        <v>302</v>
      </c>
      <c r="U7" s="139"/>
      <c r="V7" s="139"/>
      <c r="W7" s="146"/>
    </row>
    <row r="8" spans="2:23" ht="14.25">
      <c r="B8" s="42"/>
      <c r="C8" s="139" t="s">
        <v>497</v>
      </c>
      <c r="D8" s="139"/>
      <c r="E8" s="139"/>
      <c r="F8" s="139"/>
      <c r="G8" s="139"/>
      <c r="H8" s="139" t="s">
        <v>497</v>
      </c>
      <c r="I8" s="139"/>
      <c r="J8" s="139"/>
      <c r="K8" s="139"/>
      <c r="L8" s="174"/>
      <c r="M8" s="139" t="s">
        <v>498</v>
      </c>
      <c r="N8" s="139"/>
      <c r="O8" s="139"/>
      <c r="P8" s="139"/>
      <c r="Q8" s="139"/>
      <c r="R8" s="139" t="s">
        <v>497</v>
      </c>
      <c r="S8" s="139"/>
      <c r="T8" s="139"/>
      <c r="U8" s="139"/>
      <c r="V8" s="139"/>
      <c r="W8" s="146"/>
    </row>
    <row r="9" spans="2:23" ht="14.25">
      <c r="B9" s="42"/>
      <c r="C9" s="129" t="s">
        <v>477</v>
      </c>
      <c r="D9" s="11"/>
      <c r="E9" s="37"/>
      <c r="F9" s="155" t="s">
        <v>333</v>
      </c>
      <c r="G9" s="139"/>
      <c r="H9" s="129" t="s">
        <v>479</v>
      </c>
      <c r="I9" s="11"/>
      <c r="J9" s="37"/>
      <c r="K9" s="155" t="s">
        <v>333</v>
      </c>
      <c r="L9" s="174"/>
      <c r="M9" s="129" t="s">
        <v>477</v>
      </c>
      <c r="N9" s="11"/>
      <c r="O9" s="37"/>
      <c r="P9" s="155" t="s">
        <v>333</v>
      </c>
      <c r="Q9" s="139"/>
      <c r="R9" s="129" t="s">
        <v>491</v>
      </c>
      <c r="S9" s="11"/>
      <c r="T9" s="37"/>
      <c r="U9" s="155" t="s">
        <v>333</v>
      </c>
      <c r="V9" s="139"/>
      <c r="W9" s="146"/>
    </row>
    <row r="10" spans="2:23" ht="14.25">
      <c r="B10" s="42"/>
      <c r="C10" s="130" t="s">
        <v>478</v>
      </c>
      <c r="D10" s="139"/>
      <c r="E10" s="140"/>
      <c r="F10" s="255" t="s">
        <v>340</v>
      </c>
      <c r="G10" s="139"/>
      <c r="H10" s="130" t="s">
        <v>478</v>
      </c>
      <c r="I10" s="139"/>
      <c r="J10" s="140"/>
      <c r="K10" s="255" t="s">
        <v>340</v>
      </c>
      <c r="L10" s="174"/>
      <c r="M10" s="130" t="s">
        <v>478</v>
      </c>
      <c r="N10" s="139"/>
      <c r="O10" s="140"/>
      <c r="P10" s="255" t="s">
        <v>340</v>
      </c>
      <c r="Q10" s="139"/>
      <c r="R10" s="130" t="s">
        <v>492</v>
      </c>
      <c r="S10" s="139"/>
      <c r="T10" s="140"/>
      <c r="U10" s="255" t="s">
        <v>334</v>
      </c>
      <c r="V10" s="139"/>
      <c r="W10" s="146"/>
    </row>
    <row r="11" spans="2:23" ht="14.25">
      <c r="B11" s="42"/>
      <c r="C11" s="119" t="s">
        <v>341</v>
      </c>
      <c r="D11" s="125" t="s">
        <v>342</v>
      </c>
      <c r="E11" s="38"/>
      <c r="F11" s="124"/>
      <c r="G11" s="139" t="s">
        <v>3</v>
      </c>
      <c r="H11" s="119" t="s">
        <v>341</v>
      </c>
      <c r="I11" s="125" t="s">
        <v>342</v>
      </c>
      <c r="J11" s="38"/>
      <c r="K11" s="124"/>
      <c r="L11" s="174"/>
      <c r="M11" s="119" t="s">
        <v>341</v>
      </c>
      <c r="N11" s="125" t="s">
        <v>342</v>
      </c>
      <c r="O11" s="116"/>
      <c r="P11" s="116"/>
      <c r="Q11" s="139"/>
      <c r="R11" s="119" t="s">
        <v>341</v>
      </c>
      <c r="S11" s="125" t="s">
        <v>342</v>
      </c>
      <c r="T11" s="38"/>
      <c r="U11" s="124"/>
      <c r="V11" s="139"/>
      <c r="W11" s="146"/>
    </row>
    <row r="12" spans="2:23" ht="15">
      <c r="B12" s="258" t="s">
        <v>516</v>
      </c>
      <c r="C12" s="128" t="s">
        <v>337</v>
      </c>
      <c r="D12" s="129" t="s">
        <v>344</v>
      </c>
      <c r="E12" s="37"/>
      <c r="F12" s="156">
        <f>EntCO2SI_tC(D7)</f>
        <v>9046.07636503702</v>
      </c>
      <c r="G12" s="262" t="s">
        <v>517</v>
      </c>
      <c r="H12" s="128" t="s">
        <v>337</v>
      </c>
      <c r="I12" s="129" t="s">
        <v>481</v>
      </c>
      <c r="J12" s="37"/>
      <c r="K12" s="156">
        <f>EntCO2SI_TK(I7)</f>
        <v>9046.07636503702</v>
      </c>
      <c r="L12" s="259" t="s">
        <v>518</v>
      </c>
      <c r="M12" s="128" t="s">
        <v>337</v>
      </c>
      <c r="N12" s="138" t="s">
        <v>486</v>
      </c>
      <c r="O12" s="140"/>
      <c r="P12" s="254">
        <f>EnthalpyCO2SI_tC(N7)</f>
        <v>7.4069248512387276E-09</v>
      </c>
      <c r="Q12" s="259" t="s">
        <v>519</v>
      </c>
      <c r="R12" s="128" t="s">
        <v>337</v>
      </c>
      <c r="S12" s="129" t="s">
        <v>494</v>
      </c>
      <c r="T12" s="37"/>
      <c r="U12" s="156">
        <f>EntCO2Imp_TR(S7)</f>
        <v>3889.3308287652003</v>
      </c>
      <c r="V12" s="139"/>
      <c r="W12" s="146"/>
    </row>
    <row r="13" spans="2:23" ht="15">
      <c r="B13" s="258" t="s">
        <v>524</v>
      </c>
      <c r="C13" s="128" t="s">
        <v>339</v>
      </c>
      <c r="D13" s="129" t="s">
        <v>345</v>
      </c>
      <c r="E13" s="37"/>
      <c r="F13" s="157">
        <f>EntN2SI_tC(D7)</f>
        <v>8669.073819902</v>
      </c>
      <c r="G13" s="262" t="s">
        <v>525</v>
      </c>
      <c r="H13" s="128" t="s">
        <v>339</v>
      </c>
      <c r="I13" s="129" t="s">
        <v>482</v>
      </c>
      <c r="J13" s="37"/>
      <c r="K13" s="157">
        <f>EntN2SI_TK(I7)</f>
        <v>8669.073819902</v>
      </c>
      <c r="L13" s="259" t="s">
        <v>526</v>
      </c>
      <c r="M13" s="128" t="s">
        <v>339</v>
      </c>
      <c r="N13" s="125" t="s">
        <v>490</v>
      </c>
      <c r="O13" s="116"/>
      <c r="P13" s="157">
        <f>EnthalpyN2SI_tC(N7)</f>
        <v>-0.02618009800062282</v>
      </c>
      <c r="Q13" s="262" t="s">
        <v>523</v>
      </c>
      <c r="R13" s="128" t="s">
        <v>339</v>
      </c>
      <c r="S13" s="129" t="s">
        <v>496</v>
      </c>
      <c r="T13" s="37"/>
      <c r="U13" s="157">
        <f>EntN2Imp_TR(S7)</f>
        <v>3727.23947</v>
      </c>
      <c r="V13" s="139"/>
      <c r="W13" s="146"/>
    </row>
    <row r="14" spans="2:23" ht="15">
      <c r="B14" s="258" t="s">
        <v>520</v>
      </c>
      <c r="C14" s="120" t="s">
        <v>338</v>
      </c>
      <c r="D14" s="129" t="s">
        <v>487</v>
      </c>
      <c r="E14" s="37"/>
      <c r="F14" s="158">
        <f>EntO2SI_tC(D7)</f>
        <v>8662.842877604</v>
      </c>
      <c r="G14" s="262" t="s">
        <v>522</v>
      </c>
      <c r="H14" s="120" t="s">
        <v>338</v>
      </c>
      <c r="I14" s="129" t="s">
        <v>488</v>
      </c>
      <c r="J14" s="37"/>
      <c r="K14" s="158">
        <f>EntO2SI_TK(I7)</f>
        <v>8662.842877604</v>
      </c>
      <c r="L14" s="259" t="s">
        <v>521</v>
      </c>
      <c r="M14" s="120" t="s">
        <v>338</v>
      </c>
      <c r="N14" s="129" t="s">
        <v>489</v>
      </c>
      <c r="O14" s="37"/>
      <c r="P14" s="158">
        <f>EnthalpyO2SI_tC(N7)</f>
        <v>2.5125018510152586E-08</v>
      </c>
      <c r="Q14" s="259" t="s">
        <v>523</v>
      </c>
      <c r="R14" s="120" t="s">
        <v>338</v>
      </c>
      <c r="S14" s="129" t="s">
        <v>495</v>
      </c>
      <c r="T14" s="37"/>
      <c r="U14" s="158">
        <f>EntO2Imp_TR(S7)</f>
        <v>3724.4542000000006</v>
      </c>
      <c r="V14" s="139"/>
      <c r="W14" s="146"/>
    </row>
    <row r="15" spans="2:23" ht="15">
      <c r="B15" s="258" t="s">
        <v>515</v>
      </c>
      <c r="C15" s="121" t="s">
        <v>336</v>
      </c>
      <c r="D15" s="125" t="s">
        <v>343</v>
      </c>
      <c r="E15" s="116"/>
      <c r="F15" s="156">
        <f>EntH2OSI_tC(D7)</f>
        <v>9903.828880000001</v>
      </c>
      <c r="G15" s="262" t="s">
        <v>514</v>
      </c>
      <c r="H15" s="121" t="s">
        <v>336</v>
      </c>
      <c r="I15" s="125" t="s">
        <v>480</v>
      </c>
      <c r="J15" s="116"/>
      <c r="K15" s="156">
        <f>EntH2OSI_TK(I7)</f>
        <v>9903.828880000001</v>
      </c>
      <c r="L15" s="259" t="s">
        <v>512</v>
      </c>
      <c r="M15" s="121" t="s">
        <v>336</v>
      </c>
      <c r="N15" s="125" t="s">
        <v>485</v>
      </c>
      <c r="O15" s="116"/>
      <c r="P15" s="156">
        <f>EnthalpyH2OSI_tC(N7)</f>
        <v>3.605691745178774E-08</v>
      </c>
      <c r="Q15" s="259" t="s">
        <v>513</v>
      </c>
      <c r="R15" s="121" t="s">
        <v>336</v>
      </c>
      <c r="S15" s="125" t="s">
        <v>493</v>
      </c>
      <c r="T15" s="116"/>
      <c r="U15" s="156">
        <f>EntH2OImp_TR(S7)</f>
        <v>4258.120000000001</v>
      </c>
      <c r="V15" s="139"/>
      <c r="W15" s="146"/>
    </row>
    <row r="16" spans="22:23" ht="14.25">
      <c r="V16" s="139"/>
      <c r="W16" s="146"/>
    </row>
    <row r="17" spans="2:23" ht="14.25">
      <c r="B17" s="42"/>
      <c r="C17" s="139"/>
      <c r="D17" s="139"/>
      <c r="E17" s="139"/>
      <c r="F17" s="139"/>
      <c r="G17" s="139"/>
      <c r="H17" s="139"/>
      <c r="I17" s="139"/>
      <c r="J17" s="139"/>
      <c r="K17" s="139"/>
      <c r="L17" s="139"/>
      <c r="M17" s="139"/>
      <c r="N17" s="139"/>
      <c r="O17" s="139"/>
      <c r="P17" s="139"/>
      <c r="Q17" s="139"/>
      <c r="R17" s="139"/>
      <c r="S17" s="139"/>
      <c r="T17" s="139"/>
      <c r="U17" s="139"/>
      <c r="V17" s="139"/>
      <c r="W17" s="146"/>
    </row>
    <row r="18" spans="2:23" ht="14.25">
      <c r="B18" s="42"/>
      <c r="C18" s="139" t="s">
        <v>304</v>
      </c>
      <c r="D18" s="139"/>
      <c r="E18" s="139"/>
      <c r="F18" s="139"/>
      <c r="G18" s="139"/>
      <c r="H18" s="139" t="s">
        <v>304</v>
      </c>
      <c r="I18" s="139"/>
      <c r="J18" s="139"/>
      <c r="K18" s="139"/>
      <c r="L18" s="139"/>
      <c r="M18" s="139" t="s">
        <v>304</v>
      </c>
      <c r="N18" s="139"/>
      <c r="O18" s="139"/>
      <c r="P18" s="174"/>
      <c r="Q18" s="139"/>
      <c r="R18" s="139" t="s">
        <v>305</v>
      </c>
      <c r="S18" s="139"/>
      <c r="T18" s="139"/>
      <c r="U18" s="122"/>
      <c r="V18" s="139"/>
      <c r="W18" s="146"/>
    </row>
    <row r="19" spans="2:23" ht="14.25">
      <c r="B19" s="42"/>
      <c r="C19" s="139" t="s">
        <v>500</v>
      </c>
      <c r="D19" s="139"/>
      <c r="E19" s="139"/>
      <c r="F19" s="139"/>
      <c r="G19" s="139"/>
      <c r="H19" s="139" t="s">
        <v>500</v>
      </c>
      <c r="I19" s="139"/>
      <c r="J19" s="139"/>
      <c r="K19" s="174"/>
      <c r="L19" s="139"/>
      <c r="M19" s="139" t="s">
        <v>500</v>
      </c>
      <c r="N19" s="139"/>
      <c r="O19" s="139"/>
      <c r="P19" s="139"/>
      <c r="Q19" s="139"/>
      <c r="R19" s="139" t="s">
        <v>500</v>
      </c>
      <c r="S19" s="139"/>
      <c r="T19" s="139"/>
      <c r="U19" s="139"/>
      <c r="V19" s="139"/>
      <c r="W19" s="146"/>
    </row>
    <row r="20" spans="2:23" ht="14.25">
      <c r="B20" s="42"/>
      <c r="C20" s="174" t="s">
        <v>4</v>
      </c>
      <c r="D20" s="174">
        <v>25</v>
      </c>
      <c r="E20" s="139" t="s">
        <v>1</v>
      </c>
      <c r="F20" s="139"/>
      <c r="G20" s="139"/>
      <c r="H20" s="150" t="s">
        <v>484</v>
      </c>
      <c r="I20" s="174">
        <f>D20+Kelv</f>
        <v>298.15</v>
      </c>
      <c r="J20" s="139" t="s">
        <v>6</v>
      </c>
      <c r="K20" s="139"/>
      <c r="L20" s="139"/>
      <c r="M20" s="150" t="s">
        <v>484</v>
      </c>
      <c r="N20" s="174">
        <f>D20</f>
        <v>25</v>
      </c>
      <c r="O20" s="139" t="s">
        <v>1</v>
      </c>
      <c r="P20" s="139"/>
      <c r="R20" s="150" t="s">
        <v>30</v>
      </c>
      <c r="S20" s="174">
        <f>(D20*1.8+32)+Rank</f>
        <v>536.7</v>
      </c>
      <c r="T20" s="139" t="s">
        <v>302</v>
      </c>
      <c r="U20" s="139"/>
      <c r="V20" s="139"/>
      <c r="W20" s="146"/>
    </row>
    <row r="21" spans="2:23" ht="14.25">
      <c r="B21" s="42"/>
      <c r="C21" s="139" t="s">
        <v>497</v>
      </c>
      <c r="D21" s="139"/>
      <c r="E21" s="139"/>
      <c r="F21" s="139"/>
      <c r="G21" s="139"/>
      <c r="H21" s="139" t="s">
        <v>497</v>
      </c>
      <c r="I21" s="139"/>
      <c r="J21" s="139"/>
      <c r="K21" s="139"/>
      <c r="L21" s="139"/>
      <c r="M21" s="139" t="s">
        <v>498</v>
      </c>
      <c r="N21" s="139"/>
      <c r="O21" s="139"/>
      <c r="P21" s="139"/>
      <c r="R21" s="139" t="s">
        <v>509</v>
      </c>
      <c r="S21" s="139"/>
      <c r="T21" s="139"/>
      <c r="U21" s="139"/>
      <c r="V21" s="139"/>
      <c r="W21" s="146"/>
    </row>
    <row r="22" spans="2:23" ht="14.25">
      <c r="B22" s="42"/>
      <c r="C22" s="129" t="s">
        <v>477</v>
      </c>
      <c r="D22" s="11"/>
      <c r="E22" s="37"/>
      <c r="F22" s="155" t="s">
        <v>333</v>
      </c>
      <c r="G22" s="139"/>
      <c r="H22" s="129" t="s">
        <v>479</v>
      </c>
      <c r="I22" s="11"/>
      <c r="J22" s="37"/>
      <c r="K22" s="155" t="s">
        <v>333</v>
      </c>
      <c r="L22" s="139"/>
      <c r="M22" s="129" t="s">
        <v>477</v>
      </c>
      <c r="N22" s="11"/>
      <c r="O22" s="37"/>
      <c r="P22" s="155" t="s">
        <v>333</v>
      </c>
      <c r="R22" s="129" t="s">
        <v>491</v>
      </c>
      <c r="S22" s="11"/>
      <c r="T22" s="37"/>
      <c r="U22" s="155" t="s">
        <v>333</v>
      </c>
      <c r="V22" s="139"/>
      <c r="W22" s="146"/>
    </row>
    <row r="23" spans="2:23" ht="14.25">
      <c r="B23" s="42"/>
      <c r="C23" s="138" t="s">
        <v>499</v>
      </c>
      <c r="D23" s="139"/>
      <c r="E23" s="140"/>
      <c r="F23" s="255" t="s">
        <v>207</v>
      </c>
      <c r="G23" s="139"/>
      <c r="H23" s="138" t="s">
        <v>499</v>
      </c>
      <c r="I23" s="139"/>
      <c r="J23" s="140"/>
      <c r="K23" s="255" t="s">
        <v>207</v>
      </c>
      <c r="L23" s="139"/>
      <c r="M23" s="138" t="s">
        <v>478</v>
      </c>
      <c r="N23" s="139"/>
      <c r="O23" s="140"/>
      <c r="P23" s="255" t="s">
        <v>340</v>
      </c>
      <c r="R23" s="138" t="s">
        <v>492</v>
      </c>
      <c r="S23" s="139"/>
      <c r="T23" s="140"/>
      <c r="U23" s="255" t="s">
        <v>334</v>
      </c>
      <c r="V23" s="139"/>
      <c r="W23" s="146"/>
    </row>
    <row r="24" spans="2:23" ht="15">
      <c r="B24" s="258" t="s">
        <v>502</v>
      </c>
      <c r="C24" s="128" t="s">
        <v>501</v>
      </c>
      <c r="D24" s="38" t="s">
        <v>503</v>
      </c>
      <c r="E24" s="38"/>
      <c r="F24" s="256">
        <f>EntAirSI_tC(D20)</f>
        <v>297.62752875564</v>
      </c>
      <c r="G24" s="259" t="s">
        <v>504</v>
      </c>
      <c r="H24" s="128" t="s">
        <v>501</v>
      </c>
      <c r="I24" s="38" t="s">
        <v>506</v>
      </c>
      <c r="J24" s="38"/>
      <c r="K24" s="256">
        <f>EntAirSI_TK(I20)</f>
        <v>297.62752875564</v>
      </c>
      <c r="L24" s="259" t="s">
        <v>507</v>
      </c>
      <c r="M24" s="128" t="s">
        <v>501</v>
      </c>
      <c r="N24" s="38" t="s">
        <v>508</v>
      </c>
      <c r="O24" s="38"/>
      <c r="P24" s="257">
        <f>EnthAirSI_tc(N20)</f>
        <v>-1.2443599644029746E-06</v>
      </c>
      <c r="Q24" s="260" t="s">
        <v>511</v>
      </c>
      <c r="R24" s="128" t="s">
        <v>501</v>
      </c>
      <c r="S24" s="38" t="s">
        <v>510</v>
      </c>
      <c r="T24" s="38"/>
      <c r="U24" s="256">
        <f>EntAirImp_TR(S20)</f>
        <v>127.96410240000003</v>
      </c>
      <c r="V24" s="139"/>
      <c r="W24" s="146"/>
    </row>
    <row r="25" spans="2:23" ht="14.25">
      <c r="B25" s="42"/>
      <c r="C25" s="139"/>
      <c r="D25" s="139"/>
      <c r="E25" s="139"/>
      <c r="F25" s="139"/>
      <c r="G25" s="139"/>
      <c r="H25" s="139"/>
      <c r="I25" s="139"/>
      <c r="J25" s="139"/>
      <c r="K25" s="139"/>
      <c r="L25" s="139"/>
      <c r="M25" s="139"/>
      <c r="N25" s="139"/>
      <c r="O25" s="139"/>
      <c r="P25" s="139"/>
      <c r="Q25" s="139"/>
      <c r="R25" s="139"/>
      <c r="S25" s="139"/>
      <c r="T25" s="139"/>
      <c r="U25" s="139"/>
      <c r="V25" s="139"/>
      <c r="W25" s="146"/>
    </row>
    <row r="26" spans="2:23" ht="14.25">
      <c r="B26" s="42"/>
      <c r="C26" s="139"/>
      <c r="D26" s="139"/>
      <c r="E26" s="139"/>
      <c r="F26" s="139"/>
      <c r="G26" s="139"/>
      <c r="H26" s="139"/>
      <c r="I26" s="139"/>
      <c r="J26" s="139"/>
      <c r="K26" s="139"/>
      <c r="L26" s="139"/>
      <c r="M26" s="139"/>
      <c r="N26" s="139"/>
      <c r="O26" s="139"/>
      <c r="P26" s="139"/>
      <c r="Q26" s="139"/>
      <c r="R26" s="139"/>
      <c r="S26" s="139"/>
      <c r="T26" s="139"/>
      <c r="U26" s="139"/>
      <c r="V26" s="139"/>
      <c r="W26" s="146"/>
    </row>
    <row r="27" spans="2:23" ht="15" thickBot="1">
      <c r="B27" s="45"/>
      <c r="C27" s="46"/>
      <c r="D27" s="46"/>
      <c r="E27" s="46"/>
      <c r="F27" s="46"/>
      <c r="G27" s="46"/>
      <c r="H27" s="46"/>
      <c r="I27" s="46"/>
      <c r="J27" s="46"/>
      <c r="K27" s="46"/>
      <c r="L27" s="46"/>
      <c r="M27" s="46"/>
      <c r="N27" s="46"/>
      <c r="O27" s="46"/>
      <c r="P27" s="46"/>
      <c r="Q27" s="46"/>
      <c r="R27" s="46"/>
      <c r="S27" s="46"/>
      <c r="T27" s="46"/>
      <c r="U27" s="46"/>
      <c r="V27" s="46"/>
      <c r="W27" s="147"/>
    </row>
    <row r="28" ht="15" thickTop="1"/>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1"/>
  <dimension ref="A1:Y343"/>
  <sheetViews>
    <sheetView showGridLines="0" zoomScalePageLayoutView="0" workbookViewId="0" topLeftCell="A1">
      <selection activeCell="A1" sqref="A1"/>
    </sheetView>
  </sheetViews>
  <sheetFormatPr defaultColWidth="15.421875" defaultRowHeight="15"/>
  <cols>
    <col min="1" max="1" width="5.28125" style="3" customWidth="1"/>
    <col min="2" max="2" width="13.7109375" style="3" customWidth="1"/>
    <col min="3" max="4" width="15.421875" style="3" customWidth="1"/>
    <col min="5" max="5" width="11.28125" style="3" customWidth="1"/>
    <col min="6" max="8" width="13.00390625" style="3" customWidth="1"/>
    <col min="9" max="11" width="9.421875" style="3" customWidth="1"/>
    <col min="12" max="12" width="10.28125" style="3" customWidth="1"/>
    <col min="13" max="18" width="9.421875" style="3" customWidth="1"/>
    <col min="19" max="19" width="12.140625" style="3" customWidth="1"/>
    <col min="20" max="20" width="11.421875" style="3" customWidth="1"/>
    <col min="21" max="21" width="7.421875" style="3" customWidth="1"/>
    <col min="22" max="23" width="3.57421875" style="3" customWidth="1"/>
    <col min="24" max="16384" width="15.421875" style="3" customWidth="1"/>
  </cols>
  <sheetData>
    <row r="1" spans="2:25" ht="12.75">
      <c r="B1" s="4"/>
      <c r="C1" s="4"/>
      <c r="D1" s="4"/>
      <c r="E1" s="4"/>
      <c r="F1" s="4"/>
      <c r="G1" s="4"/>
      <c r="H1" s="4"/>
      <c r="I1" s="4"/>
      <c r="J1" s="4"/>
      <c r="K1" s="4"/>
      <c r="L1" s="4"/>
      <c r="M1" s="4"/>
      <c r="N1" s="4"/>
      <c r="O1" s="4"/>
      <c r="P1" s="4"/>
      <c r="Q1" s="4"/>
      <c r="R1" s="4"/>
      <c r="S1" s="4"/>
      <c r="T1" s="4"/>
      <c r="U1" s="4"/>
      <c r="V1" s="4"/>
      <c r="W1" s="4"/>
      <c r="X1" s="4"/>
      <c r="Y1" s="4"/>
    </row>
    <row r="2" spans="2:23" ht="13.5" thickBot="1">
      <c r="B2" s="4"/>
      <c r="C2" s="4"/>
      <c r="D2" s="4"/>
      <c r="E2" s="4"/>
      <c r="F2" s="4"/>
      <c r="G2" s="4"/>
      <c r="H2" s="4"/>
      <c r="I2" s="4"/>
      <c r="J2" s="4"/>
      <c r="K2" s="4"/>
      <c r="L2" s="4"/>
      <c r="M2" s="4"/>
      <c r="N2" s="4"/>
      <c r="O2" s="4"/>
      <c r="P2" s="4"/>
      <c r="Q2" s="4"/>
      <c r="R2" s="4"/>
      <c r="S2" s="4"/>
      <c r="T2" s="4"/>
      <c r="U2" s="4"/>
      <c r="V2" s="4"/>
      <c r="W2" s="4"/>
    </row>
    <row r="3" spans="2:23" ht="13.5" thickBot="1">
      <c r="B3" s="4"/>
      <c r="C3" s="102" t="s">
        <v>554</v>
      </c>
      <c r="D3" s="87"/>
      <c r="E3" s="87"/>
      <c r="F3" s="95"/>
      <c r="G3" s="4"/>
      <c r="H3" s="238" t="s">
        <v>31</v>
      </c>
      <c r="I3" s="236"/>
      <c r="J3" s="236"/>
      <c r="K3" s="236"/>
      <c r="L3" s="236"/>
      <c r="M3" s="236"/>
      <c r="N3" s="236"/>
      <c r="O3" s="236"/>
      <c r="P3" s="236"/>
      <c r="Q3" s="237" t="s">
        <v>3</v>
      </c>
      <c r="U3" s="4"/>
      <c r="V3" s="4"/>
      <c r="W3" s="4"/>
    </row>
    <row r="4" spans="2:23" ht="13.5" thickBot="1">
      <c r="B4" s="4"/>
      <c r="C4" s="39"/>
      <c r="D4" s="4"/>
      <c r="E4" s="4"/>
      <c r="F4" s="97"/>
      <c r="G4" s="4"/>
      <c r="H4" s="4"/>
      <c r="I4" s="21" t="s">
        <v>3</v>
      </c>
      <c r="J4" s="21" t="s">
        <v>3</v>
      </c>
      <c r="K4" s="21" t="s">
        <v>3</v>
      </c>
      <c r="L4" s="21" t="s">
        <v>3</v>
      </c>
      <c r="M4" s="21" t="s">
        <v>32</v>
      </c>
      <c r="N4" s="4"/>
      <c r="O4" s="4"/>
      <c r="P4" s="4"/>
      <c r="Q4" s="4" t="s">
        <v>33</v>
      </c>
      <c r="U4" s="4"/>
      <c r="V4" s="4"/>
      <c r="W4" s="4"/>
    </row>
    <row r="5" spans="2:23" ht="12.75">
      <c r="B5" s="4"/>
      <c r="C5" s="249" t="s">
        <v>34</v>
      </c>
      <c r="D5" s="18" t="s">
        <v>301</v>
      </c>
      <c r="E5" s="18" t="s">
        <v>468</v>
      </c>
      <c r="F5" s="235" t="s">
        <v>8</v>
      </c>
      <c r="G5" s="4"/>
      <c r="H5" s="21" t="s">
        <v>35</v>
      </c>
      <c r="I5" s="4"/>
      <c r="J5" s="4"/>
      <c r="K5" s="22">
        <v>15</v>
      </c>
      <c r="L5" s="4" t="s">
        <v>1</v>
      </c>
      <c r="M5" s="21" t="s">
        <v>36</v>
      </c>
      <c r="N5" s="4"/>
      <c r="O5" s="4"/>
      <c r="P5" s="4"/>
      <c r="Q5" s="4" t="s">
        <v>37</v>
      </c>
      <c r="U5" s="4"/>
      <c r="V5" s="4"/>
      <c r="W5" s="4"/>
    </row>
    <row r="6" spans="2:23" ht="13.5" thickBot="1">
      <c r="B6" s="4"/>
      <c r="C6" s="182"/>
      <c r="D6" s="118" t="s">
        <v>38</v>
      </c>
      <c r="E6" s="118" t="s">
        <v>39</v>
      </c>
      <c r="F6" s="250" t="s">
        <v>39</v>
      </c>
      <c r="G6" s="4"/>
      <c r="H6" s="4"/>
      <c r="I6" s="4" t="s">
        <v>3</v>
      </c>
      <c r="J6" s="4"/>
      <c r="K6" s="23">
        <f>273.15+tc</f>
        <v>288.15</v>
      </c>
      <c r="L6" s="21" t="s">
        <v>6</v>
      </c>
      <c r="M6" s="23" t="s">
        <v>40</v>
      </c>
      <c r="N6" s="23" t="s">
        <v>41</v>
      </c>
      <c r="O6" s="23" t="s">
        <v>42</v>
      </c>
      <c r="P6" s="4"/>
      <c r="Q6" s="4"/>
      <c r="U6" s="4"/>
      <c r="V6" s="4"/>
      <c r="W6" s="4"/>
    </row>
    <row r="7" spans="2:23" ht="13.5" thickBot="1">
      <c r="B7" s="267" t="str">
        <f>'Data NIST'!I79</f>
        <v>Methane</v>
      </c>
      <c r="C7" s="316" t="s">
        <v>10</v>
      </c>
      <c r="D7" s="317">
        <f>1*D29+2*D19</f>
        <v>16.04246</v>
      </c>
      <c r="E7" s="318">
        <f>I42</f>
        <v>55.5</v>
      </c>
      <c r="F7" s="319">
        <f>'Data NIST'!J79</f>
        <v>50.009</v>
      </c>
      <c r="G7" s="4"/>
      <c r="H7" s="4"/>
      <c r="I7" s="4"/>
      <c r="J7" s="4"/>
      <c r="K7" s="4"/>
      <c r="L7" s="4"/>
      <c r="M7" s="4"/>
      <c r="N7" s="4"/>
      <c r="O7" s="4"/>
      <c r="P7" s="4"/>
      <c r="Q7" s="4"/>
      <c r="U7" s="4"/>
      <c r="V7" s="4"/>
      <c r="W7" s="4"/>
    </row>
    <row r="8" spans="2:23" ht="12.75">
      <c r="B8" s="268" t="str">
        <f>'Data NIST'!I80</f>
        <v>Ethane</v>
      </c>
      <c r="C8" s="313" t="s">
        <v>11</v>
      </c>
      <c r="D8" s="307">
        <f>2*D29+3*D19</f>
        <v>30.06904</v>
      </c>
      <c r="E8" s="308">
        <f>I43</f>
        <v>51.9</v>
      </c>
      <c r="F8" s="320">
        <f>'Data NIST'!J80</f>
        <v>47.794</v>
      </c>
      <c r="G8" s="4"/>
      <c r="H8" s="56"/>
      <c r="I8" s="87"/>
      <c r="J8" s="87"/>
      <c r="K8" s="87"/>
      <c r="L8" s="87"/>
      <c r="M8" s="87"/>
      <c r="N8" s="87"/>
      <c r="O8" s="87"/>
      <c r="P8" s="57" t="s">
        <v>0</v>
      </c>
      <c r="Q8" s="91" t="s">
        <v>0</v>
      </c>
      <c r="U8" s="4"/>
      <c r="V8" s="4"/>
      <c r="W8" s="4"/>
    </row>
    <row r="9" spans="2:23" ht="12.75">
      <c r="B9" s="268" t="str">
        <f>'Data NIST'!I81</f>
        <v>Propane</v>
      </c>
      <c r="C9" s="313" t="s">
        <v>12</v>
      </c>
      <c r="D9" s="307">
        <f>3*D29+4*D19</f>
        <v>44.09562</v>
      </c>
      <c r="E9" s="308">
        <f>I44</f>
        <v>50.35</v>
      </c>
      <c r="F9" s="320">
        <f>'Data NIST'!J81</f>
        <v>46.357</v>
      </c>
      <c r="G9" s="4"/>
      <c r="H9" s="39"/>
      <c r="I9" s="4"/>
      <c r="J9" s="16" t="s">
        <v>2</v>
      </c>
      <c r="K9" s="16" t="s">
        <v>43</v>
      </c>
      <c r="L9" s="16" t="s">
        <v>44</v>
      </c>
      <c r="M9" s="16" t="s">
        <v>45</v>
      </c>
      <c r="N9" s="16" t="s">
        <v>46</v>
      </c>
      <c r="O9" s="16" t="s">
        <v>47</v>
      </c>
      <c r="P9" s="68" t="s">
        <v>48</v>
      </c>
      <c r="Q9" s="92" t="s">
        <v>49</v>
      </c>
      <c r="U9" s="4"/>
      <c r="V9" s="4"/>
      <c r="W9" s="4"/>
    </row>
    <row r="10" spans="2:23" ht="12.75">
      <c r="B10" s="268" t="str">
        <f>'Data NIST'!I82</f>
        <v>Butane</v>
      </c>
      <c r="C10" s="313" t="s">
        <v>13</v>
      </c>
      <c r="D10" s="307">
        <f>4*D29+5*D19</f>
        <v>58.1222</v>
      </c>
      <c r="E10" s="308">
        <f>I45</f>
        <v>49.5</v>
      </c>
      <c r="F10" s="320">
        <f>'Data NIST'!J82</f>
        <v>45.752</v>
      </c>
      <c r="G10" s="4"/>
      <c r="H10" s="55" t="s">
        <v>50</v>
      </c>
      <c r="I10" s="227">
        <f>D7</f>
        <v>16.04246</v>
      </c>
      <c r="J10" s="94">
        <v>3.42</v>
      </c>
      <c r="K10" s="68">
        <v>9.91</v>
      </c>
      <c r="L10" s="68">
        <v>1.28</v>
      </c>
      <c r="M10" s="68">
        <f aca="true" t="shared" si="0" ref="M10:M18">J10</f>
        <v>3.42</v>
      </c>
      <c r="N10" s="83">
        <f aca="true" t="shared" si="1" ref="N10:N18">(K10/1000)</f>
        <v>0.00991</v>
      </c>
      <c r="O10" s="84">
        <f aca="true" t="shared" si="2" ref="O10:O18">(-L10/1000000)</f>
        <v>-1.28E-06</v>
      </c>
      <c r="P10" s="85">
        <f aca="true" t="shared" si="3" ref="P10:P18">4.1869*(M10+N10*T*9/5+O10*T^2*81/25)</f>
        <v>34.39821355888691</v>
      </c>
      <c r="Q10" s="93">
        <f aca="true" t="shared" si="4" ref="Q10:Q18">(P10/I10)*1000</f>
        <v>2144.1981815062595</v>
      </c>
      <c r="U10" s="4"/>
      <c r="V10" s="4"/>
      <c r="W10" s="4"/>
    </row>
    <row r="11" spans="2:23" ht="12.75">
      <c r="B11" s="268" t="str">
        <f>'Data NIST'!I83</f>
        <v>Pentane</v>
      </c>
      <c r="C11" s="313" t="s">
        <v>422</v>
      </c>
      <c r="D11" s="308">
        <f>5*D29+6*D19</f>
        <v>72.14878</v>
      </c>
      <c r="E11" s="308">
        <f>I46</f>
        <v>48.6</v>
      </c>
      <c r="F11" s="320">
        <f>'Data NIST'!J83</f>
        <v>45.357</v>
      </c>
      <c r="G11" s="4"/>
      <c r="H11" s="86" t="s">
        <v>51</v>
      </c>
      <c r="I11" s="227">
        <f>D8</f>
        <v>30.06904</v>
      </c>
      <c r="J11" s="22">
        <v>1.38</v>
      </c>
      <c r="K11" s="22">
        <v>23.25</v>
      </c>
      <c r="L11" s="22">
        <v>4.27</v>
      </c>
      <c r="M11" s="22">
        <f t="shared" si="0"/>
        <v>1.38</v>
      </c>
      <c r="N11" s="75">
        <f t="shared" si="1"/>
        <v>0.02325</v>
      </c>
      <c r="O11" s="76">
        <f t="shared" si="2"/>
        <v>-4.27E-06</v>
      </c>
      <c r="P11" s="53">
        <f t="shared" si="3"/>
        <v>51.45854266178594</v>
      </c>
      <c r="Q11" s="62">
        <f t="shared" si="4"/>
        <v>1711.3463769307546</v>
      </c>
      <c r="U11" s="4"/>
      <c r="V11" s="4"/>
      <c r="W11" s="4"/>
    </row>
    <row r="12" spans="2:23" ht="12.75">
      <c r="B12" s="268" t="str">
        <f>'Data NIST'!I84</f>
        <v>Hexane</v>
      </c>
      <c r="C12" s="314" t="s">
        <v>423</v>
      </c>
      <c r="D12" s="308">
        <f>6*D29+7*D19</f>
        <v>86.17536</v>
      </c>
      <c r="E12" s="308"/>
      <c r="F12" s="320">
        <f>'Data NIST'!J84</f>
        <v>44.752</v>
      </c>
      <c r="G12" s="4"/>
      <c r="H12" s="55" t="s">
        <v>52</v>
      </c>
      <c r="I12" s="227">
        <f>D9</f>
        <v>44.09562</v>
      </c>
      <c r="J12" s="22">
        <v>0.41</v>
      </c>
      <c r="K12" s="22">
        <v>35.95</v>
      </c>
      <c r="L12" s="22">
        <v>6.97</v>
      </c>
      <c r="M12" s="22">
        <f t="shared" si="0"/>
        <v>0.41</v>
      </c>
      <c r="N12" s="75">
        <f t="shared" si="1"/>
        <v>0.03595</v>
      </c>
      <c r="O12" s="76">
        <f t="shared" si="2"/>
        <v>-6.969999999999999E-06</v>
      </c>
      <c r="P12" s="53">
        <f t="shared" si="3"/>
        <v>71.93566094934194</v>
      </c>
      <c r="Q12" s="62">
        <f t="shared" si="4"/>
        <v>1631.356151684497</v>
      </c>
      <c r="U12" s="4"/>
      <c r="V12" s="4"/>
      <c r="W12" s="4"/>
    </row>
    <row r="13" spans="2:23" ht="12.75">
      <c r="B13" s="268" t="str">
        <f>'Data NIST'!I85</f>
        <v>Heptane</v>
      </c>
      <c r="C13" s="313" t="s">
        <v>424</v>
      </c>
      <c r="D13" s="308">
        <f>7*D29+8*D19</f>
        <v>100.20194000000001</v>
      </c>
      <c r="E13" s="308"/>
      <c r="F13" s="320">
        <f>'Data NIST'!J85</f>
        <v>44.566</v>
      </c>
      <c r="G13" s="4"/>
      <c r="H13" s="55" t="s">
        <v>53</v>
      </c>
      <c r="I13" s="227">
        <f>D10</f>
        <v>58.1222</v>
      </c>
      <c r="J13" s="22">
        <v>2.25</v>
      </c>
      <c r="K13" s="22">
        <v>45.4</v>
      </c>
      <c r="L13" s="22">
        <v>8.83</v>
      </c>
      <c r="M13" s="22">
        <f t="shared" si="0"/>
        <v>2.25</v>
      </c>
      <c r="N13" s="75">
        <f t="shared" si="1"/>
        <v>0.045399999999999996</v>
      </c>
      <c r="O13" s="76">
        <f t="shared" si="2"/>
        <v>-8.83E-06</v>
      </c>
      <c r="P13" s="53">
        <f t="shared" si="3"/>
        <v>98.06634234289494</v>
      </c>
      <c r="Q13" s="62">
        <f t="shared" si="4"/>
        <v>1687.2441570156489</v>
      </c>
      <c r="U13" s="4"/>
      <c r="V13" s="4"/>
      <c r="W13" s="4"/>
    </row>
    <row r="14" spans="2:23" ht="12.75">
      <c r="B14" s="268" t="str">
        <f>'Data NIST'!I86</f>
        <v>Octane</v>
      </c>
      <c r="C14" s="313" t="s">
        <v>110</v>
      </c>
      <c r="D14" s="307">
        <f>8*D29+9*D19</f>
        <v>114.22852</v>
      </c>
      <c r="E14" s="307"/>
      <c r="F14" s="320">
        <f>'Data NIST'!J86</f>
        <v>44.427</v>
      </c>
      <c r="G14" s="4"/>
      <c r="H14" s="55" t="s">
        <v>54</v>
      </c>
      <c r="I14" s="22">
        <f>D26</f>
        <v>28.0134</v>
      </c>
      <c r="J14" s="22">
        <v>6.946</v>
      </c>
      <c r="K14" s="22">
        <v>-0.196</v>
      </c>
      <c r="L14" s="22">
        <v>-0.4757</v>
      </c>
      <c r="M14" s="22">
        <f t="shared" si="0"/>
        <v>6.946</v>
      </c>
      <c r="N14" s="75">
        <f t="shared" si="1"/>
        <v>-0.00019600000000000002</v>
      </c>
      <c r="O14" s="76">
        <f t="shared" si="2"/>
        <v>4.757E-07</v>
      </c>
      <c r="P14" s="53">
        <f t="shared" si="3"/>
        <v>29.192376517694807</v>
      </c>
      <c r="Q14" s="62">
        <f t="shared" si="4"/>
        <v>1042.086162968251</v>
      </c>
      <c r="U14" s="4"/>
      <c r="V14" s="4"/>
      <c r="W14" s="4"/>
    </row>
    <row r="15" spans="2:23" ht="12.75">
      <c r="B15" s="268" t="str">
        <f>'Data NIST'!I87</f>
        <v>Nonane</v>
      </c>
      <c r="C15" s="313" t="s">
        <v>425</v>
      </c>
      <c r="D15" s="308">
        <f>9*D29+10*D19</f>
        <v>128.2551</v>
      </c>
      <c r="E15" s="308"/>
      <c r="F15" s="320">
        <f>'Data NIST'!J87</f>
        <v>44.311</v>
      </c>
      <c r="G15" s="4"/>
      <c r="H15" s="55" t="s">
        <v>55</v>
      </c>
      <c r="I15" s="22">
        <f>D28</f>
        <v>31.998</v>
      </c>
      <c r="J15" s="22">
        <v>6.117</v>
      </c>
      <c r="K15" s="22">
        <v>3.167</v>
      </c>
      <c r="L15" s="22">
        <v>1.005</v>
      </c>
      <c r="M15" s="22">
        <f t="shared" si="0"/>
        <v>6.117</v>
      </c>
      <c r="N15" s="75">
        <f t="shared" si="1"/>
        <v>0.0031669999999999997</v>
      </c>
      <c r="O15" s="76">
        <f t="shared" si="2"/>
        <v>-1.005E-06</v>
      </c>
      <c r="P15" s="53">
        <f t="shared" si="3"/>
        <v>31.356800397282946</v>
      </c>
      <c r="Q15" s="62">
        <f t="shared" si="4"/>
        <v>979.9612599938416</v>
      </c>
      <c r="U15" s="4"/>
      <c r="V15" s="4"/>
      <c r="W15" s="4"/>
    </row>
    <row r="16" spans="2:23" ht="12.75">
      <c r="B16" s="268" t="str">
        <f>'Data NIST'!I88</f>
        <v>Decane</v>
      </c>
      <c r="C16" s="313" t="s">
        <v>426</v>
      </c>
      <c r="D16" s="308">
        <f>10*D29+11*D19</f>
        <v>142.28168</v>
      </c>
      <c r="E16" s="308"/>
      <c r="F16" s="320">
        <f>'Data NIST'!J88</f>
        <v>44.24</v>
      </c>
      <c r="G16" s="4"/>
      <c r="H16" s="55" t="s">
        <v>56</v>
      </c>
      <c r="I16" s="22">
        <f>D25</f>
        <v>18.01488</v>
      </c>
      <c r="J16" s="22">
        <v>7.136</v>
      </c>
      <c r="K16" s="22">
        <v>2.64</v>
      </c>
      <c r="L16" s="22">
        <v>0.0459</v>
      </c>
      <c r="M16" s="22">
        <f t="shared" si="0"/>
        <v>7.136</v>
      </c>
      <c r="N16" s="75">
        <f t="shared" si="1"/>
        <v>0.00264</v>
      </c>
      <c r="O16" s="76">
        <f t="shared" si="2"/>
        <v>-4.59E-08</v>
      </c>
      <c r="P16" s="53">
        <f t="shared" si="3"/>
        <v>35.55909403518275</v>
      </c>
      <c r="Q16" s="62">
        <f t="shared" si="4"/>
        <v>1973.8734887594449</v>
      </c>
      <c r="U16" s="4"/>
      <c r="V16" s="4"/>
      <c r="W16" s="4"/>
    </row>
    <row r="17" spans="2:23" ht="12.75">
      <c r="B17" s="268" t="str">
        <f>'Data NIST'!I89</f>
        <v>Undecane</v>
      </c>
      <c r="C17" s="313" t="s">
        <v>427</v>
      </c>
      <c r="D17" s="308">
        <f>11*D29+12*D19</f>
        <v>156.30826000000002</v>
      </c>
      <c r="E17" s="308"/>
      <c r="F17" s="320">
        <f>'Data NIST'!J89</f>
        <v>44.194</v>
      </c>
      <c r="G17" s="4"/>
      <c r="H17" s="55" t="s">
        <v>57</v>
      </c>
      <c r="I17" s="54">
        <f>D21</f>
        <v>44.008700000000005</v>
      </c>
      <c r="J17" s="22">
        <v>6.339</v>
      </c>
      <c r="K17" s="22">
        <v>10.14</v>
      </c>
      <c r="L17" s="22">
        <v>3.415</v>
      </c>
      <c r="M17" s="22">
        <f t="shared" si="0"/>
        <v>6.339</v>
      </c>
      <c r="N17" s="75">
        <f t="shared" si="1"/>
        <v>0.01014</v>
      </c>
      <c r="O17" s="76">
        <f t="shared" si="2"/>
        <v>-3.415E-06</v>
      </c>
      <c r="P17" s="53">
        <f t="shared" si="3"/>
        <v>44.71448166469489</v>
      </c>
      <c r="Q17" s="62">
        <f t="shared" si="4"/>
        <v>1016.0373213636141</v>
      </c>
      <c r="U17" s="4"/>
      <c r="V17" s="4"/>
      <c r="W17" s="4"/>
    </row>
    <row r="18" spans="2:23" ht="13.5" thickBot="1">
      <c r="B18" s="269" t="str">
        <f>'Data NIST'!I90</f>
        <v>Dodecane</v>
      </c>
      <c r="C18" s="313" t="s">
        <v>428</v>
      </c>
      <c r="D18" s="308">
        <f>12*D29+13*D19</f>
        <v>170.33483999999999</v>
      </c>
      <c r="E18" s="308"/>
      <c r="F18" s="320">
        <f>'Data NIST'!J90</f>
        <v>44.147</v>
      </c>
      <c r="G18" s="4"/>
      <c r="H18" s="71" t="s">
        <v>119</v>
      </c>
      <c r="I18" s="72">
        <f>D24</f>
        <v>64.063</v>
      </c>
      <c r="J18" s="72">
        <v>6.945</v>
      </c>
      <c r="K18" s="72">
        <v>10.01</v>
      </c>
      <c r="L18" s="72">
        <v>3.794</v>
      </c>
      <c r="M18" s="72">
        <f t="shared" si="0"/>
        <v>6.945</v>
      </c>
      <c r="N18" s="88">
        <f t="shared" si="1"/>
        <v>0.01001</v>
      </c>
      <c r="O18" s="89">
        <f t="shared" si="2"/>
        <v>-3.794E-06</v>
      </c>
      <c r="P18" s="90">
        <f t="shared" si="3"/>
        <v>46.5425444320226</v>
      </c>
      <c r="Q18" s="74">
        <f t="shared" si="4"/>
        <v>726.512096405454</v>
      </c>
      <c r="U18" s="4"/>
      <c r="V18" s="4"/>
      <c r="W18" s="4"/>
    </row>
    <row r="19" spans="2:23" ht="13.5" thickBot="1">
      <c r="B19" s="270" t="s">
        <v>68</v>
      </c>
      <c r="C19" s="313" t="s">
        <v>15</v>
      </c>
      <c r="D19" s="311">
        <f>1.00794*2</f>
        <v>2.01588</v>
      </c>
      <c r="E19" s="311">
        <f>I41</f>
        <v>141.8</v>
      </c>
      <c r="F19" s="320">
        <v>119.644</v>
      </c>
      <c r="G19" s="4"/>
      <c r="H19" s="4"/>
      <c r="I19" s="10" t="s">
        <v>3</v>
      </c>
      <c r="J19" s="10"/>
      <c r="K19" s="10"/>
      <c r="L19" s="10"/>
      <c r="M19" s="10"/>
      <c r="N19" s="10"/>
      <c r="O19" s="24"/>
      <c r="P19" s="10"/>
      <c r="Q19" s="10"/>
      <c r="U19" s="4"/>
      <c r="V19" s="4"/>
      <c r="W19" s="4"/>
    </row>
    <row r="20" spans="2:23" ht="13.5" thickBot="1">
      <c r="B20" s="270" t="s">
        <v>458</v>
      </c>
      <c r="C20" s="313" t="s">
        <v>16</v>
      </c>
      <c r="D20" s="309">
        <f>1*D29+0.5*D28</f>
        <v>28.009700000000002</v>
      </c>
      <c r="E20" s="309"/>
      <c r="F20" s="321">
        <v>10.09</v>
      </c>
      <c r="G20" s="4"/>
      <c r="H20" s="77" t="s">
        <v>58</v>
      </c>
      <c r="I20" s="132">
        <f>Q76</f>
        <v>28.969727708782447</v>
      </c>
      <c r="J20" s="78">
        <v>6.386</v>
      </c>
      <c r="K20" s="78">
        <v>1.762</v>
      </c>
      <c r="L20" s="78">
        <v>0.2656</v>
      </c>
      <c r="M20" s="78">
        <f>J20</f>
        <v>6.386</v>
      </c>
      <c r="N20" s="79">
        <f>(K20/1000)</f>
        <v>0.0017620000000000001</v>
      </c>
      <c r="O20" s="80">
        <f>(-L20/1000000)</f>
        <v>-2.656E-07</v>
      </c>
      <c r="P20" s="81">
        <f>4.1869*(M20+N20*T*9/5+O20*T^2*81/25)</f>
        <v>30.264777241794558</v>
      </c>
      <c r="Q20" s="82">
        <f>(P20/I20)*1000</f>
        <v>1044.7035452328225</v>
      </c>
      <c r="U20" s="4"/>
      <c r="V20" s="4"/>
      <c r="W20" s="4"/>
    </row>
    <row r="21" spans="2:23" ht="13.5" thickBot="1">
      <c r="B21" s="270" t="s">
        <v>57</v>
      </c>
      <c r="C21" s="313" t="s">
        <v>17</v>
      </c>
      <c r="D21" s="309">
        <f>1*D29+1*D28</f>
        <v>44.008700000000005</v>
      </c>
      <c r="E21" s="309"/>
      <c r="F21" s="321">
        <v>0</v>
      </c>
      <c r="G21" s="12"/>
      <c r="H21" s="4"/>
      <c r="I21" s="10"/>
      <c r="J21" s="10"/>
      <c r="K21" s="10"/>
      <c r="L21" s="10"/>
      <c r="M21" s="10"/>
      <c r="N21" s="10"/>
      <c r="O21" s="10"/>
      <c r="P21" s="10"/>
      <c r="Q21" s="10"/>
      <c r="U21" s="4"/>
      <c r="V21" s="4"/>
      <c r="W21" s="4"/>
    </row>
    <row r="22" spans="2:23" ht="12.75">
      <c r="B22" s="270" t="s">
        <v>77</v>
      </c>
      <c r="C22" s="313" t="s">
        <v>18</v>
      </c>
      <c r="D22" s="324">
        <v>32.065</v>
      </c>
      <c r="E22" s="324"/>
      <c r="F22" s="321">
        <v>0</v>
      </c>
      <c r="G22" s="12"/>
      <c r="H22" s="56" t="s">
        <v>61</v>
      </c>
      <c r="I22" s="18"/>
      <c r="J22" s="69" t="s">
        <v>62</v>
      </c>
      <c r="K22" s="18"/>
      <c r="L22" s="70"/>
      <c r="M22" s="18"/>
      <c r="N22" s="18"/>
      <c r="O22" s="18"/>
      <c r="P22" s="18"/>
      <c r="Q22" s="61"/>
      <c r="U22" s="4"/>
      <c r="V22" s="4"/>
      <c r="W22" s="4"/>
    </row>
    <row r="23" spans="2:23" ht="12.75">
      <c r="B23" s="270" t="s">
        <v>469</v>
      </c>
      <c r="C23" s="313" t="s">
        <v>19</v>
      </c>
      <c r="D23" s="309">
        <f>1*D22+1*D19</f>
        <v>34.08088</v>
      </c>
      <c r="E23" s="309"/>
      <c r="F23" s="322">
        <f>O325</f>
        <v>17.396154</v>
      </c>
      <c r="G23" s="179"/>
      <c r="H23" s="39"/>
      <c r="I23" s="10"/>
      <c r="J23" s="22" t="s">
        <v>64</v>
      </c>
      <c r="K23" s="22" t="s">
        <v>65</v>
      </c>
      <c r="L23" s="22" t="s">
        <v>66</v>
      </c>
      <c r="M23" s="10"/>
      <c r="N23" s="10"/>
      <c r="O23" s="10"/>
      <c r="P23" s="10"/>
      <c r="Q23" s="41"/>
      <c r="U23" s="4"/>
      <c r="V23" s="4"/>
      <c r="W23" s="4"/>
    </row>
    <row r="24" spans="2:23" ht="13.5" thickBot="1">
      <c r="B24" s="270" t="s">
        <v>462</v>
      </c>
      <c r="C24" s="313" t="s">
        <v>20</v>
      </c>
      <c r="D24" s="309">
        <f>1*D22+1*D28</f>
        <v>64.063</v>
      </c>
      <c r="E24" s="309"/>
      <c r="F24" s="321">
        <v>0</v>
      </c>
      <c r="G24" s="12"/>
      <c r="H24" s="71" t="s">
        <v>68</v>
      </c>
      <c r="I24" s="72">
        <f>D19</f>
        <v>2.01588</v>
      </c>
      <c r="J24" s="73">
        <v>11.937</v>
      </c>
      <c r="K24" s="73">
        <f>2.156/1000</f>
        <v>0.002156</v>
      </c>
      <c r="L24" s="73">
        <v>30.897</v>
      </c>
      <c r="M24" s="60"/>
      <c r="N24" s="60"/>
      <c r="O24" s="60"/>
      <c r="P24" s="60"/>
      <c r="Q24" s="74">
        <f>(J24+K24*T+L24/T^0.5)*1000</f>
        <v>14378.400649362027</v>
      </c>
      <c r="U24" s="4"/>
      <c r="V24" s="4"/>
      <c r="W24" s="4"/>
    </row>
    <row r="25" spans="2:23" ht="12.75">
      <c r="B25" s="270" t="s">
        <v>459</v>
      </c>
      <c r="C25" s="313" t="s">
        <v>21</v>
      </c>
      <c r="D25" s="309">
        <f>1*D19+0.5*D28</f>
        <v>18.01488</v>
      </c>
      <c r="E25" s="309"/>
      <c r="F25" s="321">
        <v>0</v>
      </c>
      <c r="G25" s="12"/>
      <c r="U25" s="4"/>
      <c r="V25" s="4"/>
      <c r="W25" s="4"/>
    </row>
    <row r="26" spans="2:23" ht="13.5" thickBot="1">
      <c r="B26" s="270" t="s">
        <v>460</v>
      </c>
      <c r="C26" s="313" t="s">
        <v>22</v>
      </c>
      <c r="D26" s="312">
        <f>14.0067*2</f>
        <v>28.0134</v>
      </c>
      <c r="E26" s="312"/>
      <c r="F26" s="320">
        <v>0</v>
      </c>
      <c r="G26" s="178"/>
      <c r="U26" s="4"/>
      <c r="V26" s="4"/>
      <c r="W26" s="4"/>
    </row>
    <row r="27" spans="2:23" ht="13.5" thickBot="1">
      <c r="B27" s="270" t="s">
        <v>94</v>
      </c>
      <c r="C27" s="313" t="s">
        <v>23</v>
      </c>
      <c r="D27" s="306">
        <v>39.948</v>
      </c>
      <c r="E27" s="306"/>
      <c r="F27" s="321">
        <v>0</v>
      </c>
      <c r="G27" s="12"/>
      <c r="H27" s="65"/>
      <c r="I27" s="66"/>
      <c r="J27" s="66"/>
      <c r="K27" s="66"/>
      <c r="L27" s="66"/>
      <c r="M27" s="66" t="s">
        <v>71</v>
      </c>
      <c r="N27" s="66"/>
      <c r="O27" s="66"/>
      <c r="P27" s="66"/>
      <c r="Q27" s="67"/>
      <c r="U27" s="4"/>
      <c r="V27" s="4"/>
      <c r="W27" s="4"/>
    </row>
    <row r="28" spans="2:23" ht="12.75">
      <c r="B28" s="270" t="s">
        <v>461</v>
      </c>
      <c r="C28" s="313" t="s">
        <v>24</v>
      </c>
      <c r="D28" s="325">
        <f>15.999*2</f>
        <v>31.998</v>
      </c>
      <c r="E28" s="325"/>
      <c r="F28" s="321">
        <v>0</v>
      </c>
      <c r="G28" s="12"/>
      <c r="H28" s="39"/>
      <c r="I28" s="10"/>
      <c r="J28" s="19" t="s">
        <v>45</v>
      </c>
      <c r="K28" s="19" t="s">
        <v>46</v>
      </c>
      <c r="L28" s="19" t="s">
        <v>47</v>
      </c>
      <c r="M28" s="19" t="s">
        <v>72</v>
      </c>
      <c r="N28" s="10"/>
      <c r="O28" s="10"/>
      <c r="P28" s="10"/>
      <c r="Q28" s="41"/>
      <c r="U28" s="4"/>
      <c r="V28" s="4"/>
      <c r="W28" s="4"/>
    </row>
    <row r="29" spans="2:23" ht="14.25" thickBot="1">
      <c r="B29" s="271" t="s">
        <v>216</v>
      </c>
      <c r="C29" s="315" t="s">
        <v>59</v>
      </c>
      <c r="D29" s="310">
        <v>12.0107</v>
      </c>
      <c r="E29" s="310"/>
      <c r="F29" s="323"/>
      <c r="G29" s="183" t="s">
        <v>3</v>
      </c>
      <c r="H29" s="39"/>
      <c r="I29" s="10"/>
      <c r="J29" s="22" t="s">
        <v>2</v>
      </c>
      <c r="K29" s="22" t="s">
        <v>73</v>
      </c>
      <c r="L29" s="22" t="s">
        <v>74</v>
      </c>
      <c r="M29" s="22" t="s">
        <v>75</v>
      </c>
      <c r="N29" s="10"/>
      <c r="O29" s="10"/>
      <c r="P29" s="10"/>
      <c r="Q29" s="41"/>
      <c r="U29" s="4"/>
      <c r="V29" s="4"/>
      <c r="W29" s="4"/>
    </row>
    <row r="30" spans="2:23" ht="13.5" thickBot="1">
      <c r="B30" s="4"/>
      <c r="C30" s="96"/>
      <c r="D30" s="40"/>
      <c r="E30" s="40"/>
      <c r="F30" s="98"/>
      <c r="G30" s="4"/>
      <c r="H30" s="55" t="s">
        <v>458</v>
      </c>
      <c r="I30" s="54">
        <f>D20</f>
        <v>28.009700000000002</v>
      </c>
      <c r="J30" s="68">
        <v>6.89</v>
      </c>
      <c r="K30" s="68">
        <v>0.1436</v>
      </c>
      <c r="L30" s="68">
        <v>-0.02387</v>
      </c>
      <c r="M30" s="19"/>
      <c r="N30" s="16"/>
      <c r="O30" s="16"/>
      <c r="P30" s="53">
        <f>J30+K30*$K$5/100+L30*$K$5^-2*0.00001</f>
        <v>6.91153999893911</v>
      </c>
      <c r="Q30" s="62">
        <f>P30/I30*4.1868*1000</f>
        <v>1033.1148019278417</v>
      </c>
      <c r="U30" s="4"/>
      <c r="V30" s="4"/>
      <c r="W30" s="4"/>
    </row>
    <row r="31" spans="2:23" ht="12.75">
      <c r="B31" s="4"/>
      <c r="C31" s="99" t="s">
        <v>60</v>
      </c>
      <c r="D31" s="13"/>
      <c r="E31" s="13"/>
      <c r="F31" s="97"/>
      <c r="G31" s="21"/>
      <c r="H31" s="55" t="s">
        <v>76</v>
      </c>
      <c r="I31" s="53">
        <f>D11</f>
        <v>72.14878</v>
      </c>
      <c r="J31" s="22">
        <v>39.66</v>
      </c>
      <c r="K31" s="16"/>
      <c r="L31" s="16"/>
      <c r="M31" s="16"/>
      <c r="N31" s="16"/>
      <c r="O31" s="16"/>
      <c r="P31" s="53">
        <f>J31+K31*$K$5+L31*$K$5^-2</f>
        <v>39.66</v>
      </c>
      <c r="Q31" s="62">
        <f>P31/I31*4.1868*1000</f>
        <v>2301.47326122493</v>
      </c>
      <c r="U31" s="4"/>
      <c r="V31" s="4"/>
      <c r="W31" s="4"/>
    </row>
    <row r="32" spans="2:23" ht="12.75">
      <c r="B32" s="4"/>
      <c r="C32" s="100" t="s">
        <v>116</v>
      </c>
      <c r="D32" s="12">
        <v>8314</v>
      </c>
      <c r="E32" s="21" t="s">
        <v>63</v>
      </c>
      <c r="F32" s="97"/>
      <c r="G32" s="21"/>
      <c r="H32" s="55" t="s">
        <v>77</v>
      </c>
      <c r="I32" s="22">
        <f>D22</f>
        <v>32.065</v>
      </c>
      <c r="J32" s="22">
        <v>3.63</v>
      </c>
      <c r="K32" s="22">
        <v>0.64</v>
      </c>
      <c r="L32" s="16"/>
      <c r="M32" s="16"/>
      <c r="N32" s="16"/>
      <c r="O32" s="16"/>
      <c r="P32" s="54">
        <f>J32+K32*K6/100</f>
        <v>5.4741599999999995</v>
      </c>
      <c r="Q32" s="62">
        <f>P32/I32*4.1868*1000</f>
        <v>714.7735252767815</v>
      </c>
      <c r="U32" s="4"/>
      <c r="V32" s="4"/>
      <c r="W32" s="4"/>
    </row>
    <row r="33" spans="1:23" ht="12.75">
      <c r="A33" s="4"/>
      <c r="B33" s="4"/>
      <c r="C33" s="101" t="s">
        <v>67</v>
      </c>
      <c r="D33" s="4"/>
      <c r="E33" s="21"/>
      <c r="F33" s="97"/>
      <c r="G33" s="12"/>
      <c r="H33" s="55" t="s">
        <v>78</v>
      </c>
      <c r="I33" s="54">
        <f>D23</f>
        <v>34.08088</v>
      </c>
      <c r="J33" s="276">
        <f>264*4.1868</f>
        <v>1105.3152</v>
      </c>
      <c r="K33" s="16"/>
      <c r="L33" s="16"/>
      <c r="M33" s="16"/>
      <c r="N33" s="16"/>
      <c r="O33" s="16"/>
      <c r="P33" s="16"/>
      <c r="Q33" s="62">
        <f>J33</f>
        <v>1105.3152</v>
      </c>
      <c r="U33" s="4"/>
      <c r="V33" s="4"/>
      <c r="W33" s="4"/>
    </row>
    <row r="34" spans="1:23" ht="12.75">
      <c r="A34" s="4"/>
      <c r="B34" s="4"/>
      <c r="C34" s="100" t="s">
        <v>69</v>
      </c>
      <c r="D34" s="12">
        <v>101325</v>
      </c>
      <c r="E34" s="12" t="s">
        <v>70</v>
      </c>
      <c r="F34" s="97"/>
      <c r="G34" s="10"/>
      <c r="H34" s="55" t="s">
        <v>79</v>
      </c>
      <c r="I34" s="22">
        <f>D27</f>
        <v>39.948</v>
      </c>
      <c r="J34" s="16"/>
      <c r="K34" s="16"/>
      <c r="L34" s="16"/>
      <c r="M34" s="16"/>
      <c r="N34" s="16"/>
      <c r="O34" s="16"/>
      <c r="P34" s="16"/>
      <c r="Q34" s="63">
        <f>0.127*4.1868*1000</f>
        <v>531.7235999999999</v>
      </c>
      <c r="U34" s="4"/>
      <c r="V34" s="4"/>
      <c r="W34" s="4"/>
    </row>
    <row r="35" spans="1:23" ht="13.5" thickBot="1">
      <c r="A35" s="4"/>
      <c r="B35" s="4"/>
      <c r="C35" s="39" t="s">
        <v>555</v>
      </c>
      <c r="D35" s="4"/>
      <c r="E35" s="4"/>
      <c r="F35" s="97"/>
      <c r="G35" s="21"/>
      <c r="H35" s="58" t="s">
        <v>14</v>
      </c>
      <c r="I35" s="59"/>
      <c r="J35" s="59"/>
      <c r="K35" s="59"/>
      <c r="L35" s="59"/>
      <c r="M35" s="59"/>
      <c r="N35" s="59"/>
      <c r="O35" s="59"/>
      <c r="P35" s="59"/>
      <c r="Q35" s="64">
        <f>G108*1000</f>
        <v>658</v>
      </c>
      <c r="U35" s="4"/>
      <c r="V35" s="4"/>
      <c r="W35" s="4"/>
    </row>
    <row r="36" spans="1:23" ht="12.75">
      <c r="A36" s="4"/>
      <c r="B36" s="4"/>
      <c r="C36" s="115" t="s">
        <v>28</v>
      </c>
      <c r="D36" s="10">
        <v>9.80665</v>
      </c>
      <c r="E36" s="4" t="s">
        <v>118</v>
      </c>
      <c r="F36" s="97"/>
      <c r="H36" s="251" t="s">
        <v>474</v>
      </c>
      <c r="I36" s="4"/>
      <c r="J36" s="4"/>
      <c r="K36" s="4"/>
      <c r="L36" s="4"/>
      <c r="M36" s="4"/>
      <c r="N36" s="4"/>
      <c r="O36" s="4"/>
      <c r="P36" s="4"/>
      <c r="Q36" s="10"/>
      <c r="U36" s="4"/>
      <c r="V36" s="4"/>
      <c r="W36" s="4"/>
    </row>
    <row r="37" spans="1:23" ht="12.75">
      <c r="A37" s="4"/>
      <c r="B37" s="4"/>
      <c r="C37" s="115" t="s">
        <v>283</v>
      </c>
      <c r="D37" s="10">
        <v>273.15</v>
      </c>
      <c r="E37" s="4" t="s">
        <v>6</v>
      </c>
      <c r="F37" s="97"/>
      <c r="H37" s="4"/>
      <c r="I37" s="4"/>
      <c r="J37" s="4"/>
      <c r="K37" s="4"/>
      <c r="L37" s="4"/>
      <c r="M37" s="4"/>
      <c r="N37" s="4"/>
      <c r="O37" s="4"/>
      <c r="P37" s="4"/>
      <c r="Q37" s="4"/>
      <c r="U37" s="4"/>
      <c r="V37" s="4"/>
      <c r="W37" s="4"/>
    </row>
    <row r="38" spans="1:23" ht="13.5" thickBot="1">
      <c r="A38" s="4"/>
      <c r="B38" s="4"/>
      <c r="C38" s="112" t="s">
        <v>332</v>
      </c>
      <c r="D38" s="113">
        <v>459.7</v>
      </c>
      <c r="E38" s="40" t="s">
        <v>302</v>
      </c>
      <c r="F38" s="98"/>
      <c r="G38" s="117"/>
      <c r="H38" s="175" t="s">
        <v>471</v>
      </c>
      <c r="I38" s="4"/>
      <c r="J38" s="4"/>
      <c r="K38" s="4"/>
      <c r="L38" s="4"/>
      <c r="M38" s="4"/>
      <c r="N38" s="4"/>
      <c r="O38" s="4"/>
      <c r="P38" s="4"/>
      <c r="Q38" s="4"/>
      <c r="R38" s="4"/>
      <c r="T38" s="4"/>
      <c r="U38" s="4"/>
      <c r="V38" s="4"/>
      <c r="W38" s="4"/>
    </row>
    <row r="39" spans="1:23" ht="15.75" thickBot="1">
      <c r="A39" s="4"/>
      <c r="B39" s="4"/>
      <c r="G39" s="4"/>
      <c r="H39" s="277" t="s">
        <v>473</v>
      </c>
      <c r="I39" s="278" t="s">
        <v>468</v>
      </c>
      <c r="J39" s="279" t="s">
        <v>8</v>
      </c>
      <c r="K39" s="277" t="s">
        <v>3</v>
      </c>
      <c r="R39" s="4"/>
      <c r="T39" s="4"/>
      <c r="U39" s="4"/>
      <c r="V39" s="4"/>
      <c r="W39" s="4"/>
    </row>
    <row r="40" spans="1:23" ht="15.75">
      <c r="A40" s="4"/>
      <c r="B40" s="4"/>
      <c r="C40" s="245" t="s">
        <v>306</v>
      </c>
      <c r="D40" s="246" t="s">
        <v>556</v>
      </c>
      <c r="E40" s="246"/>
      <c r="F40" s="95"/>
      <c r="G40" s="4"/>
      <c r="H40" s="280" t="s">
        <v>472</v>
      </c>
      <c r="I40" s="281" t="s">
        <v>39</v>
      </c>
      <c r="J40" s="282" t="s">
        <v>39</v>
      </c>
      <c r="K40" s="280"/>
      <c r="V40" s="4"/>
      <c r="W40" s="4"/>
    </row>
    <row r="41" spans="1:23" ht="16.5" thickBot="1">
      <c r="A41" s="4"/>
      <c r="B41" s="4"/>
      <c r="C41" s="273" t="s">
        <v>306</v>
      </c>
      <c r="D41" s="274">
        <f>Rg/I20</f>
        <v>286.98923523121454</v>
      </c>
      <c r="E41" s="275" t="s">
        <v>307</v>
      </c>
      <c r="F41" s="98"/>
      <c r="G41" s="4"/>
      <c r="H41" s="240" t="s">
        <v>68</v>
      </c>
      <c r="I41" s="242">
        <v>141.8</v>
      </c>
      <c r="J41" s="242">
        <v>119.96</v>
      </c>
      <c r="K41" s="19"/>
      <c r="V41" s="4"/>
      <c r="W41" s="4"/>
    </row>
    <row r="42" spans="1:23" ht="15">
      <c r="A42" s="4"/>
      <c r="B42" s="4"/>
      <c r="G42" s="4"/>
      <c r="H42" s="241" t="s">
        <v>50</v>
      </c>
      <c r="I42" s="243">
        <v>55.5</v>
      </c>
      <c r="J42" s="243">
        <v>50</v>
      </c>
      <c r="K42" s="16"/>
      <c r="V42" s="4"/>
      <c r="W42" s="4"/>
    </row>
    <row r="43" spans="1:23" ht="15">
      <c r="A43" s="4"/>
      <c r="B43" s="4"/>
      <c r="F43" s="4"/>
      <c r="G43" s="4"/>
      <c r="H43" s="241" t="s">
        <v>51</v>
      </c>
      <c r="I43" s="243">
        <v>51.9</v>
      </c>
      <c r="J43" s="243">
        <v>47.622</v>
      </c>
      <c r="K43" s="16"/>
      <c r="V43" s="4"/>
      <c r="W43" s="4"/>
    </row>
    <row r="44" spans="1:23" ht="15">
      <c r="A44" s="4"/>
      <c r="B44" s="4"/>
      <c r="C44" s="4"/>
      <c r="D44" s="4"/>
      <c r="E44" s="4"/>
      <c r="F44" s="4"/>
      <c r="G44" s="4"/>
      <c r="H44" s="241" t="s">
        <v>52</v>
      </c>
      <c r="I44" s="243">
        <v>50.35</v>
      </c>
      <c r="J44" s="243">
        <v>46.35</v>
      </c>
      <c r="K44" s="219"/>
      <c r="V44" s="4"/>
      <c r="W44" s="4"/>
    </row>
    <row r="45" spans="1:23" ht="15">
      <c r="A45" s="4"/>
      <c r="B45" s="4"/>
      <c r="C45" s="4"/>
      <c r="D45" s="4"/>
      <c r="E45" s="4"/>
      <c r="F45" s="4"/>
      <c r="G45" s="4"/>
      <c r="H45" s="241" t="s">
        <v>95</v>
      </c>
      <c r="I45" s="243">
        <v>49.5</v>
      </c>
      <c r="J45" s="243">
        <v>45.75</v>
      </c>
      <c r="K45" s="16"/>
      <c r="L45" s="4"/>
      <c r="M45" s="4"/>
      <c r="N45" s="4"/>
      <c r="O45" s="4"/>
      <c r="P45" s="4"/>
      <c r="Q45" s="4"/>
      <c r="V45" s="4"/>
      <c r="W45" s="4"/>
    </row>
    <row r="46" spans="1:23" ht="15">
      <c r="A46" s="4"/>
      <c r="B46" s="4"/>
      <c r="C46" s="4"/>
      <c r="D46" s="4"/>
      <c r="E46" s="4"/>
      <c r="F46" s="4"/>
      <c r="G46" s="4"/>
      <c r="H46" s="241" t="s">
        <v>76</v>
      </c>
      <c r="I46" s="243">
        <v>48.6</v>
      </c>
      <c r="J46" s="243">
        <v>45.35</v>
      </c>
      <c r="K46" s="16"/>
      <c r="L46" s="4"/>
      <c r="M46" s="4"/>
      <c r="N46" s="4"/>
      <c r="O46" s="4"/>
      <c r="P46" s="4"/>
      <c r="Q46" s="4"/>
      <c r="R46" s="4"/>
      <c r="T46" s="10"/>
      <c r="U46" s="4"/>
      <c r="V46" s="4"/>
      <c r="W46" s="4"/>
    </row>
    <row r="47" spans="2:23" ht="15">
      <c r="B47" s="4"/>
      <c r="C47" s="4"/>
      <c r="D47" s="4"/>
      <c r="E47" s="4"/>
      <c r="F47" s="4"/>
      <c r="G47" s="4"/>
      <c r="H47" s="177"/>
      <c r="I47" s="177"/>
      <c r="J47" s="177"/>
      <c r="K47" s="177"/>
      <c r="L47" s="4"/>
      <c r="M47" s="4"/>
      <c r="N47" s="4"/>
      <c r="O47" s="4"/>
      <c r="P47" s="4"/>
      <c r="Q47" s="4"/>
      <c r="R47" s="4"/>
      <c r="T47" s="4"/>
      <c r="U47" s="4"/>
      <c r="V47" s="4"/>
      <c r="W47" s="4"/>
    </row>
    <row r="48" spans="8:23" ht="14.25">
      <c r="H48" s="177" t="s">
        <v>467</v>
      </c>
      <c r="I48" s="177"/>
      <c r="J48" s="177"/>
      <c r="K48" s="177"/>
      <c r="N48" s="177"/>
      <c r="O48" s="177"/>
      <c r="P48" s="177"/>
      <c r="Q48" s="1"/>
      <c r="R48" s="4"/>
      <c r="T48" s="4"/>
      <c r="U48" s="4"/>
      <c r="V48" s="4"/>
      <c r="W48" s="4"/>
    </row>
    <row r="49" spans="11:20" ht="14.25">
      <c r="K49" s="177"/>
      <c r="N49" s="1"/>
      <c r="O49" s="1"/>
      <c r="P49" s="177"/>
      <c r="Q49" s="1"/>
      <c r="R49" s="177"/>
      <c r="T49" s="177"/>
    </row>
    <row r="50" spans="6:20" ht="15" thickBot="1">
      <c r="F50"/>
      <c r="G50"/>
      <c r="I50" s="177"/>
      <c r="J50" s="177"/>
      <c r="K50" s="177"/>
      <c r="L50" s="177"/>
      <c r="M50" s="226"/>
      <c r="N50" s="226"/>
      <c r="O50" s="226"/>
      <c r="P50" s="1"/>
      <c r="Q50" s="177"/>
      <c r="R50" s="177"/>
      <c r="T50" s="177"/>
    </row>
    <row r="51" spans="2:20" ht="15" thickBot="1">
      <c r="B51" s="65"/>
      <c r="C51" s="236"/>
      <c r="D51" s="236"/>
      <c r="E51" s="236"/>
      <c r="F51" s="326"/>
      <c r="G51" s="326"/>
      <c r="H51" s="236"/>
      <c r="I51" s="236"/>
      <c r="J51" s="236"/>
      <c r="K51" s="236"/>
      <c r="L51" s="236"/>
      <c r="M51" s="236"/>
      <c r="N51" s="327"/>
      <c r="O51" s="236"/>
      <c r="P51" s="236"/>
      <c r="Q51" s="236"/>
      <c r="R51" s="328"/>
      <c r="S51" s="1"/>
      <c r="T51" s="177"/>
    </row>
    <row r="52" spans="9:17" ht="14.25">
      <c r="I52" s="177"/>
      <c r="J52" s="141"/>
      <c r="K52" s="177"/>
      <c r="L52" s="177"/>
      <c r="O52" s="1"/>
      <c r="P52" s="1"/>
      <c r="Q52" s="177"/>
    </row>
    <row r="53" spans="9:17" ht="14.25">
      <c r="I53" s="177"/>
      <c r="J53" s="141"/>
      <c r="K53" s="177"/>
      <c r="L53" s="177"/>
      <c r="O53" s="1"/>
      <c r="P53" s="1"/>
      <c r="Q53" s="177"/>
    </row>
    <row r="54" spans="3:16" ht="26.25">
      <c r="C54" s="25" t="s">
        <v>308</v>
      </c>
      <c r="D54" s="15"/>
      <c r="E54" s="15"/>
      <c r="F54" s="14"/>
      <c r="G54" s="4"/>
      <c r="H54" s="296" t="s">
        <v>558</v>
      </c>
      <c r="I54" s="15"/>
      <c r="J54" s="289" t="s">
        <v>310</v>
      </c>
      <c r="K54" s="184"/>
      <c r="L54" s="184"/>
      <c r="M54" s="184"/>
      <c r="N54" s="51"/>
      <c r="O54" s="298" t="s">
        <v>325</v>
      </c>
      <c r="P54" s="51"/>
    </row>
    <row r="55" spans="3:16" ht="15">
      <c r="C55" s="5" t="s">
        <v>284</v>
      </c>
      <c r="D55" s="47">
        <f>P57</f>
        <v>21.00703735751477</v>
      </c>
      <c r="E55" s="248"/>
      <c r="F55" s="17" t="s">
        <v>285</v>
      </c>
      <c r="G55" s="114"/>
      <c r="H55" s="297"/>
      <c r="I55" s="272"/>
      <c r="J55" s="290" t="s">
        <v>311</v>
      </c>
      <c r="K55" s="184"/>
      <c r="L55" s="184"/>
      <c r="M55" s="184"/>
      <c r="N55" s="51"/>
      <c r="O55" s="298" t="s">
        <v>9</v>
      </c>
      <c r="P55" s="51" t="s">
        <v>9</v>
      </c>
    </row>
    <row r="56" spans="3:16" ht="15">
      <c r="C56" s="5" t="s">
        <v>286</v>
      </c>
      <c r="D56" s="48" t="s">
        <v>287</v>
      </c>
      <c r="E56" s="48"/>
      <c r="F56" s="9"/>
      <c r="G56" s="4"/>
      <c r="H56" s="285" t="s">
        <v>312</v>
      </c>
      <c r="I56" s="284"/>
      <c r="J56" s="291">
        <v>0.78</v>
      </c>
      <c r="K56" s="184"/>
      <c r="M56" s="299" t="s">
        <v>29</v>
      </c>
      <c r="N56" s="244">
        <f>J56/$K$57</f>
        <v>0.7802613875648343</v>
      </c>
      <c r="O56" s="300">
        <f>N56*100</f>
        <v>78.02613875648343</v>
      </c>
      <c r="P56" s="301"/>
    </row>
    <row r="57" spans="3:16" ht="15">
      <c r="C57" s="6" t="s">
        <v>286</v>
      </c>
      <c r="D57" s="131">
        <f>(100-D55)/D55</f>
        <v>3.760309523809523</v>
      </c>
      <c r="E57" s="131"/>
      <c r="F57" s="50" t="s">
        <v>288</v>
      </c>
      <c r="G57" s="4"/>
      <c r="H57" s="286" t="s">
        <v>313</v>
      </c>
      <c r="I57" s="180"/>
      <c r="J57" s="292">
        <v>0.21</v>
      </c>
      <c r="K57" s="187">
        <f>SUM(J56:J59)</f>
        <v>0.9996649999999999</v>
      </c>
      <c r="M57" s="299" t="s">
        <v>24</v>
      </c>
      <c r="N57" s="244">
        <f>J57/$K$57</f>
        <v>0.21007037357514768</v>
      </c>
      <c r="P57" s="301">
        <f>N57*100</f>
        <v>21.00703735751477</v>
      </c>
    </row>
    <row r="58" spans="8:16" ht="15" customHeight="1">
      <c r="H58" s="287" t="s">
        <v>314</v>
      </c>
      <c r="I58" s="142"/>
      <c r="J58" s="292">
        <v>0.0093</v>
      </c>
      <c r="K58" s="184"/>
      <c r="M58" s="299" t="s">
        <v>79</v>
      </c>
      <c r="N58" s="244">
        <f>J58/$K$57</f>
        <v>0.009303116544042254</v>
      </c>
      <c r="O58" s="300">
        <f>N58*100</f>
        <v>0.9303116544042254</v>
      </c>
      <c r="P58" s="301"/>
    </row>
    <row r="59" spans="8:16" ht="18.75" customHeight="1">
      <c r="H59" s="287" t="s">
        <v>557</v>
      </c>
      <c r="I59" s="142"/>
      <c r="J59" s="293">
        <f>365/1000/1000</f>
        <v>0.000365</v>
      </c>
      <c r="K59" s="184"/>
      <c r="M59" s="299" t="s">
        <v>26</v>
      </c>
      <c r="N59" s="244">
        <f>J59/$K$57</f>
        <v>0.00036512231597585193</v>
      </c>
      <c r="O59" s="300">
        <f>N59*100</f>
        <v>0.036512231597585196</v>
      </c>
      <c r="P59" s="301"/>
    </row>
    <row r="60" spans="3:16" ht="13.5">
      <c r="C60" s="25" t="s">
        <v>309</v>
      </c>
      <c r="D60" s="15"/>
      <c r="E60" s="15"/>
      <c r="F60" s="14"/>
      <c r="G60" s="4"/>
      <c r="H60" s="288"/>
      <c r="I60" s="142"/>
      <c r="J60" s="292"/>
      <c r="K60" s="184"/>
      <c r="L60" s="184"/>
      <c r="M60" s="184"/>
      <c r="N60" s="51"/>
      <c r="O60" s="302">
        <f>SUM(O56:O59)</f>
        <v>78.99296264248524</v>
      </c>
      <c r="P60" s="51">
        <f>P57</f>
        <v>21.00703735751477</v>
      </c>
    </row>
    <row r="61" spans="3:16" ht="15">
      <c r="C61" s="5" t="s">
        <v>284</v>
      </c>
      <c r="D61" s="47" t="s">
        <v>3</v>
      </c>
      <c r="E61" s="248"/>
      <c r="F61" s="17" t="s">
        <v>289</v>
      </c>
      <c r="G61" s="114"/>
      <c r="H61" s="288"/>
      <c r="I61" s="142"/>
      <c r="J61" s="292"/>
      <c r="K61" s="184"/>
      <c r="L61" s="184"/>
      <c r="M61" s="184"/>
      <c r="N61" s="51"/>
      <c r="O61" s="51"/>
      <c r="P61" s="51"/>
    </row>
    <row r="62" spans="3:16" ht="18" customHeight="1" thickBot="1">
      <c r="C62" s="5" t="s">
        <v>290</v>
      </c>
      <c r="D62" s="48" t="s">
        <v>287</v>
      </c>
      <c r="E62" s="48"/>
      <c r="F62" s="9"/>
      <c r="G62" s="4"/>
      <c r="H62" s="287" t="s">
        <v>315</v>
      </c>
      <c r="I62" s="142"/>
      <c r="J62" s="294">
        <v>1.8E-06</v>
      </c>
      <c r="K62" s="184"/>
      <c r="L62" s="184"/>
      <c r="M62" s="184"/>
      <c r="N62" s="51"/>
      <c r="O62" s="51"/>
      <c r="P62" s="51"/>
    </row>
    <row r="63" spans="3:16" ht="16.5" thickBot="1" thickTop="1">
      <c r="C63" s="6" t="s">
        <v>290</v>
      </c>
      <c r="D63" s="49" t="s">
        <v>3</v>
      </c>
      <c r="E63" s="49"/>
      <c r="F63" s="50" t="s">
        <v>291</v>
      </c>
      <c r="G63" s="4"/>
      <c r="H63" s="287" t="s">
        <v>316</v>
      </c>
      <c r="I63" s="142"/>
      <c r="J63" s="294">
        <v>1E-05</v>
      </c>
      <c r="K63" s="184"/>
      <c r="L63" s="184" t="s">
        <v>3</v>
      </c>
      <c r="M63" s="184"/>
      <c r="N63" s="51"/>
      <c r="O63" s="303" t="s">
        <v>323</v>
      </c>
      <c r="P63" s="304">
        <f>O60/P60</f>
        <v>3.760309523809524</v>
      </c>
    </row>
    <row r="64" spans="8:16" ht="14.25" thickTop="1">
      <c r="H64" s="287" t="s">
        <v>317</v>
      </c>
      <c r="I64" s="142"/>
      <c r="J64" s="294">
        <v>5.2E-06</v>
      </c>
      <c r="K64" s="184"/>
      <c r="L64" s="184"/>
      <c r="M64" s="184"/>
      <c r="N64" s="184"/>
      <c r="O64" s="184"/>
      <c r="P64" s="184"/>
    </row>
    <row r="65" spans="8:16" ht="13.5">
      <c r="H65" s="287" t="s">
        <v>318</v>
      </c>
      <c r="I65" s="142"/>
      <c r="J65" s="294">
        <v>1.7E-06</v>
      </c>
      <c r="K65" s="189">
        <f>SUM(J62:J68)</f>
        <v>2.062E-05</v>
      </c>
      <c r="M65" s="184"/>
      <c r="N65" s="184"/>
      <c r="O65" s="184"/>
      <c r="P65" s="184"/>
    </row>
    <row r="66" spans="3:17" ht="13.5">
      <c r="C66" s="3" t="s">
        <v>292</v>
      </c>
      <c r="H66" s="287" t="s">
        <v>319</v>
      </c>
      <c r="I66" s="142"/>
      <c r="J66" s="294">
        <v>1.1E-06</v>
      </c>
      <c r="K66" s="184"/>
      <c r="L66" s="184"/>
      <c r="M66" s="184" t="s">
        <v>5</v>
      </c>
      <c r="N66" s="184"/>
      <c r="O66" s="184"/>
      <c r="P66" s="104"/>
      <c r="Q66" s="103"/>
    </row>
    <row r="67" spans="3:17" ht="13.5">
      <c r="C67" s="3" t="s">
        <v>293</v>
      </c>
      <c r="H67" s="287" t="s">
        <v>320</v>
      </c>
      <c r="I67" s="142"/>
      <c r="J67" s="294">
        <v>5E-07</v>
      </c>
      <c r="K67" s="184"/>
      <c r="L67" s="184"/>
      <c r="M67" s="184"/>
      <c r="N67" s="184"/>
      <c r="O67" s="184"/>
      <c r="P67" s="104"/>
      <c r="Q67" s="103"/>
    </row>
    <row r="68" spans="8:17" ht="27">
      <c r="H68" s="287" t="s">
        <v>321</v>
      </c>
      <c r="I68" s="142"/>
      <c r="J68" s="294">
        <v>3.2E-07</v>
      </c>
      <c r="K68" s="184"/>
      <c r="L68" s="184"/>
      <c r="M68" s="223" t="s">
        <v>34</v>
      </c>
      <c r="N68" s="103"/>
      <c r="O68" s="223" t="s">
        <v>310</v>
      </c>
      <c r="P68" s="184"/>
      <c r="Q68" s="104"/>
    </row>
    <row r="69" spans="8:17" ht="13.5">
      <c r="H69" s="283"/>
      <c r="I69" s="184"/>
      <c r="J69" s="295">
        <f>SUM(J56:J68)</f>
        <v>0.9996856199999999</v>
      </c>
      <c r="K69" s="184"/>
      <c r="L69" s="187" t="s">
        <v>3</v>
      </c>
      <c r="M69" s="224"/>
      <c r="N69" s="103"/>
      <c r="O69" s="185"/>
      <c r="P69" s="184"/>
      <c r="Q69" s="104"/>
    </row>
    <row r="70" spans="3:17" ht="32.25">
      <c r="C70" s="51" t="s">
        <v>294</v>
      </c>
      <c r="M70" s="225"/>
      <c r="N70" s="103"/>
      <c r="O70" s="190" t="s">
        <v>431</v>
      </c>
      <c r="P70" s="191" t="s">
        <v>432</v>
      </c>
      <c r="Q70" s="191" t="s">
        <v>433</v>
      </c>
    </row>
    <row r="71" spans="3:17" ht="27">
      <c r="C71" s="3" t="s">
        <v>295</v>
      </c>
      <c r="I71" s="4"/>
      <c r="M71" s="186" t="s">
        <v>312</v>
      </c>
      <c r="N71" s="192">
        <v>0.78</v>
      </c>
      <c r="O71" s="192">
        <f>N71/$N$75</f>
        <v>0.7802613875648343</v>
      </c>
      <c r="P71" s="191">
        <v>28.016</v>
      </c>
      <c r="Q71" s="105">
        <f>O71*P71</f>
        <v>21.859803034016398</v>
      </c>
    </row>
    <row r="72" spans="3:17" ht="27">
      <c r="C72" s="3" t="s">
        <v>296</v>
      </c>
      <c r="I72" s="4"/>
      <c r="M72" s="186" t="s">
        <v>313</v>
      </c>
      <c r="N72" s="192">
        <v>0.21</v>
      </c>
      <c r="O72" s="192">
        <f>N72/$N$75</f>
        <v>0.21007037357514768</v>
      </c>
      <c r="P72" s="105">
        <v>32</v>
      </c>
      <c r="Q72" s="111">
        <f>O72*P72</f>
        <v>6.722251954404726</v>
      </c>
    </row>
    <row r="73" spans="3:17" ht="27">
      <c r="C73" s="3" t="s">
        <v>297</v>
      </c>
      <c r="I73" s="4"/>
      <c r="M73" s="186" t="s">
        <v>314</v>
      </c>
      <c r="N73" s="192">
        <v>0.0093</v>
      </c>
      <c r="O73" s="192">
        <f>N73/$N$75</f>
        <v>0.009303116544042254</v>
      </c>
      <c r="P73" s="191">
        <v>39.944</v>
      </c>
      <c r="Q73" s="105">
        <f>O73*P73</f>
        <v>0.3716036872352238</v>
      </c>
    </row>
    <row r="74" spans="3:17" ht="13.5">
      <c r="C74" s="52" t="s">
        <v>299</v>
      </c>
      <c r="I74" s="4"/>
      <c r="M74" s="186" t="s">
        <v>322</v>
      </c>
      <c r="N74" s="193">
        <f>365/1000/1000</f>
        <v>0.000365</v>
      </c>
      <c r="O74" s="192">
        <f>N74/$N$75</f>
        <v>0.00036512231597585193</v>
      </c>
      <c r="P74" s="191">
        <v>44.01</v>
      </c>
      <c r="Q74" s="105">
        <f>O74*P74</f>
        <v>0.016069033126097244</v>
      </c>
    </row>
    <row r="75" spans="3:24" ht="14.25" thickBot="1">
      <c r="C75" s="52" t="s">
        <v>298</v>
      </c>
      <c r="D75" s="3" t="s">
        <v>434</v>
      </c>
      <c r="I75" s="4"/>
      <c r="M75" s="103"/>
      <c r="N75" s="133">
        <f>SUM(N71:N74)</f>
        <v>0.9996649999999999</v>
      </c>
      <c r="O75" s="188">
        <f>SUM(O71:O74)</f>
        <v>1</v>
      </c>
      <c r="P75" s="104"/>
      <c r="Q75" s="108">
        <f>SUM(Q71:Q74)</f>
        <v>28.969727708782447</v>
      </c>
      <c r="X75" s="3" t="s">
        <v>3</v>
      </c>
    </row>
    <row r="76" spans="3:19" ht="16.5" thickBot="1" thickTop="1">
      <c r="C76" s="52" t="s">
        <v>300</v>
      </c>
      <c r="I76" s="4"/>
      <c r="P76" s="135" t="s">
        <v>559</v>
      </c>
      <c r="Q76" s="136">
        <f>Q75</f>
        <v>28.969727708782447</v>
      </c>
      <c r="R76" s="134" t="s">
        <v>324</v>
      </c>
      <c r="S76" s="137"/>
    </row>
    <row r="77" spans="3:9" ht="13.5" thickTop="1">
      <c r="C77" s="51"/>
      <c r="I77" s="4"/>
    </row>
    <row r="78" spans="3:9" ht="12.75">
      <c r="C78" s="51"/>
      <c r="I78" s="4"/>
    </row>
    <row r="79" spans="3:9" ht="12.75">
      <c r="C79" s="3" t="s">
        <v>453</v>
      </c>
      <c r="I79" s="4"/>
    </row>
    <row r="80" spans="3:10" ht="12.75">
      <c r="C80" s="3" t="s">
        <v>455</v>
      </c>
      <c r="F80" s="110" t="s">
        <v>301</v>
      </c>
      <c r="G80" s="110" t="s">
        <v>454</v>
      </c>
      <c r="H80" s="110" t="s">
        <v>454</v>
      </c>
      <c r="I80" s="20" t="s">
        <v>454</v>
      </c>
      <c r="J80" s="230" t="s">
        <v>454</v>
      </c>
    </row>
    <row r="81" spans="6:10" ht="12.75">
      <c r="F81" s="6" t="s">
        <v>38</v>
      </c>
      <c r="G81" s="6" t="s">
        <v>451</v>
      </c>
      <c r="H81" s="6" t="s">
        <v>125</v>
      </c>
      <c r="I81" s="220" t="s">
        <v>340</v>
      </c>
      <c r="J81" s="231" t="s">
        <v>207</v>
      </c>
    </row>
    <row r="82" spans="3:10" ht="12.75">
      <c r="C82" s="181" t="s">
        <v>430</v>
      </c>
      <c r="D82" s="180" t="s">
        <v>456</v>
      </c>
      <c r="E82" s="50"/>
      <c r="F82" s="221">
        <f>D21</f>
        <v>44.008700000000005</v>
      </c>
      <c r="G82" s="148">
        <v>94.052</v>
      </c>
      <c r="H82" s="228">
        <f>G82*4.1868</f>
        <v>393.7769136</v>
      </c>
      <c r="I82" s="234">
        <f>H82*1000</f>
        <v>393776.9136</v>
      </c>
      <c r="J82" s="232">
        <f>I82/F82</f>
        <v>8947.706103565886</v>
      </c>
    </row>
    <row r="83" spans="3:10" ht="12.75">
      <c r="C83" s="181" t="s">
        <v>452</v>
      </c>
      <c r="D83" s="180" t="s">
        <v>457</v>
      </c>
      <c r="E83" s="142"/>
      <c r="F83" s="222">
        <f>D24</f>
        <v>64.063</v>
      </c>
      <c r="G83" s="143">
        <v>70.94</v>
      </c>
      <c r="H83" s="229">
        <f>G83*4.1868</f>
        <v>297.011592</v>
      </c>
      <c r="I83" s="233">
        <f>H83*1000</f>
        <v>297011.592</v>
      </c>
      <c r="J83" s="232">
        <f>I83/F83</f>
        <v>4636.2423239623495</v>
      </c>
    </row>
    <row r="84" spans="4:9" ht="12.75">
      <c r="D84" s="202"/>
      <c r="E84" s="202"/>
      <c r="F84" s="202"/>
      <c r="I84" s="4"/>
    </row>
    <row r="86" ht="13.5" thickBot="1"/>
    <row r="87" spans="2:18" ht="13.5" thickBot="1">
      <c r="B87" s="65"/>
      <c r="C87" s="236"/>
      <c r="D87" s="236"/>
      <c r="E87" s="236"/>
      <c r="F87" s="236"/>
      <c r="G87" s="236"/>
      <c r="H87" s="236"/>
      <c r="I87" s="236"/>
      <c r="J87" s="236"/>
      <c r="K87" s="236"/>
      <c r="L87" s="236"/>
      <c r="M87" s="236"/>
      <c r="N87" s="236"/>
      <c r="O87" s="236"/>
      <c r="P87" s="236"/>
      <c r="Q87" s="236"/>
      <c r="R87" s="237"/>
    </row>
    <row r="91" spans="2:8" ht="12.75">
      <c r="B91" s="332" t="s">
        <v>80</v>
      </c>
      <c r="C91" s="333"/>
      <c r="D91" s="333"/>
      <c r="E91" s="333"/>
      <c r="F91" s="333"/>
      <c r="G91" s="333"/>
      <c r="H91" s="333"/>
    </row>
    <row r="92" spans="2:8" ht="12.75">
      <c r="B92" s="335" t="s">
        <v>34</v>
      </c>
      <c r="C92" s="337" t="s">
        <v>81</v>
      </c>
      <c r="D92" s="337" t="s">
        <v>82</v>
      </c>
      <c r="E92" s="337" t="s">
        <v>83</v>
      </c>
      <c r="F92" s="161" t="s">
        <v>84</v>
      </c>
      <c r="G92" s="161" t="s">
        <v>84</v>
      </c>
      <c r="H92" s="161" t="s">
        <v>84</v>
      </c>
    </row>
    <row r="93" spans="2:8" ht="26.25">
      <c r="B93" s="336"/>
      <c r="C93" s="338"/>
      <c r="D93" s="338"/>
      <c r="E93" s="338"/>
      <c r="F93" s="162" t="s">
        <v>85</v>
      </c>
      <c r="G93" s="162" t="s">
        <v>86</v>
      </c>
      <c r="H93" s="162" t="s">
        <v>87</v>
      </c>
    </row>
    <row r="94" spans="2:8" ht="12.75">
      <c r="B94" s="26"/>
      <c r="C94" s="27"/>
      <c r="D94" s="27" t="s">
        <v>88</v>
      </c>
      <c r="E94" s="27" t="s">
        <v>89</v>
      </c>
      <c r="F94" s="27" t="s">
        <v>90</v>
      </c>
      <c r="G94" s="27" t="s">
        <v>91</v>
      </c>
      <c r="H94" s="27" t="s">
        <v>92</v>
      </c>
    </row>
    <row r="95" spans="2:8" ht="12.75">
      <c r="B95" s="26" t="s">
        <v>58</v>
      </c>
      <c r="C95" s="27" t="s">
        <v>93</v>
      </c>
      <c r="D95" s="27">
        <v>28.97</v>
      </c>
      <c r="E95" s="27">
        <v>0.287</v>
      </c>
      <c r="F95" s="27">
        <v>1.005</v>
      </c>
      <c r="G95" s="27">
        <v>0.718</v>
      </c>
      <c r="H95" s="27">
        <v>1.4</v>
      </c>
    </row>
    <row r="96" spans="2:8" ht="12.75">
      <c r="B96" s="26" t="s">
        <v>94</v>
      </c>
      <c r="C96" s="27" t="s">
        <v>79</v>
      </c>
      <c r="D96" s="27">
        <v>39.948</v>
      </c>
      <c r="E96" s="27">
        <v>0.2081</v>
      </c>
      <c r="F96" s="27">
        <v>0.5203</v>
      </c>
      <c r="G96" s="27">
        <v>0.3122</v>
      </c>
      <c r="H96" s="27">
        <v>1.667</v>
      </c>
    </row>
    <row r="97" spans="2:8" ht="12.75">
      <c r="B97" s="26" t="s">
        <v>95</v>
      </c>
      <c r="C97" s="27" t="s">
        <v>96</v>
      </c>
      <c r="D97" s="27">
        <v>58.124</v>
      </c>
      <c r="E97" s="27">
        <v>0.1433</v>
      </c>
      <c r="F97" s="27">
        <v>1.7164</v>
      </c>
      <c r="G97" s="27">
        <v>1.5734</v>
      </c>
      <c r="H97" s="27">
        <v>1.091</v>
      </c>
    </row>
    <row r="98" spans="2:8" ht="12.75">
      <c r="B98" s="26" t="s">
        <v>97</v>
      </c>
      <c r="C98" s="27" t="s">
        <v>26</v>
      </c>
      <c r="D98" s="27">
        <v>44.01</v>
      </c>
      <c r="E98" s="27">
        <v>0.1889</v>
      </c>
      <c r="F98" s="27">
        <v>0.846</v>
      </c>
      <c r="G98" s="27">
        <v>0.657</v>
      </c>
      <c r="H98" s="27">
        <v>1.289</v>
      </c>
    </row>
    <row r="99" spans="2:8" ht="26.25">
      <c r="B99" s="26" t="s">
        <v>98</v>
      </c>
      <c r="C99" s="27" t="s">
        <v>99</v>
      </c>
      <c r="D99" s="27">
        <v>28.011</v>
      </c>
      <c r="E99" s="27">
        <v>0.2968</v>
      </c>
      <c r="F99" s="27">
        <v>1.04</v>
      </c>
      <c r="G99" s="27">
        <v>0.744</v>
      </c>
      <c r="H99" s="27">
        <v>1.4</v>
      </c>
    </row>
    <row r="100" spans="2:8" ht="12.75">
      <c r="B100" s="26" t="s">
        <v>51</v>
      </c>
      <c r="C100" s="27" t="s">
        <v>100</v>
      </c>
      <c r="D100" s="27">
        <v>30.07</v>
      </c>
      <c r="E100" s="27">
        <v>0.2765</v>
      </c>
      <c r="F100" s="27">
        <v>1.7662</v>
      </c>
      <c r="G100" s="27">
        <v>1.4897</v>
      </c>
      <c r="H100" s="27">
        <v>1.186</v>
      </c>
    </row>
    <row r="101" spans="2:8" ht="12.75">
      <c r="B101" s="26" t="s">
        <v>101</v>
      </c>
      <c r="C101" s="27" t="s">
        <v>102</v>
      </c>
      <c r="D101" s="27">
        <v>28.054</v>
      </c>
      <c r="E101" s="27">
        <v>0.2964</v>
      </c>
      <c r="F101" s="27">
        <v>1.5482</v>
      </c>
      <c r="G101" s="27">
        <v>1.2518</v>
      </c>
      <c r="H101" s="27">
        <v>1.237</v>
      </c>
    </row>
    <row r="102" spans="2:8" ht="12.75">
      <c r="B102" s="26" t="s">
        <v>103</v>
      </c>
      <c r="C102" s="27" t="s">
        <v>104</v>
      </c>
      <c r="D102" s="27">
        <v>4.003</v>
      </c>
      <c r="E102" s="27">
        <v>2.0769</v>
      </c>
      <c r="F102" s="27">
        <v>5.1926</v>
      </c>
      <c r="G102" s="27">
        <v>3.1156</v>
      </c>
      <c r="H102" s="27">
        <v>1.667</v>
      </c>
    </row>
    <row r="103" spans="2:8" ht="12.75">
      <c r="B103" s="26" t="s">
        <v>68</v>
      </c>
      <c r="C103" s="27" t="s">
        <v>105</v>
      </c>
      <c r="D103" s="27">
        <v>2.016</v>
      </c>
      <c r="E103" s="27">
        <v>4.124</v>
      </c>
      <c r="F103" s="27">
        <v>14.307</v>
      </c>
      <c r="G103" s="27">
        <v>10.183</v>
      </c>
      <c r="H103" s="27">
        <v>1.405</v>
      </c>
    </row>
    <row r="104" spans="2:8" ht="12.75">
      <c r="B104" s="26" t="s">
        <v>50</v>
      </c>
      <c r="C104" s="27" t="s">
        <v>106</v>
      </c>
      <c r="D104" s="27">
        <v>16.043</v>
      </c>
      <c r="E104" s="27">
        <v>0.5182</v>
      </c>
      <c r="F104" s="27">
        <v>2.2537</v>
      </c>
      <c r="G104" s="27">
        <v>1.7354</v>
      </c>
      <c r="H104" s="27">
        <v>1.299</v>
      </c>
    </row>
    <row r="105" spans="2:8" ht="12.75">
      <c r="B105" s="26" t="s">
        <v>107</v>
      </c>
      <c r="C105" s="27" t="s">
        <v>108</v>
      </c>
      <c r="D105" s="27">
        <v>20.183</v>
      </c>
      <c r="E105" s="27">
        <v>0.4119</v>
      </c>
      <c r="F105" s="27">
        <v>1.0299</v>
      </c>
      <c r="G105" s="27">
        <v>0.6179</v>
      </c>
      <c r="H105" s="27">
        <v>1.667</v>
      </c>
    </row>
    <row r="106" spans="2:8" ht="12.75">
      <c r="B106" s="26" t="s">
        <v>54</v>
      </c>
      <c r="C106" s="27" t="s">
        <v>29</v>
      </c>
      <c r="D106" s="27">
        <v>28.013</v>
      </c>
      <c r="E106" s="27">
        <v>0.2968</v>
      </c>
      <c r="F106" s="27">
        <v>1.039</v>
      </c>
      <c r="G106" s="27">
        <v>0.743</v>
      </c>
      <c r="H106" s="27">
        <v>1.4</v>
      </c>
    </row>
    <row r="107" spans="2:8" ht="12.75">
      <c r="B107" s="26" t="s">
        <v>109</v>
      </c>
      <c r="C107" s="27" t="s">
        <v>110</v>
      </c>
      <c r="D107" s="27">
        <v>114.231</v>
      </c>
      <c r="E107" s="27">
        <v>0.0729</v>
      </c>
      <c r="F107" s="27">
        <v>1.7113</v>
      </c>
      <c r="G107" s="27">
        <v>1.6385</v>
      </c>
      <c r="H107" s="27">
        <v>1.044</v>
      </c>
    </row>
    <row r="108" spans="2:8" ht="12.75">
      <c r="B108" s="26" t="s">
        <v>111</v>
      </c>
      <c r="C108" s="27" t="s">
        <v>24</v>
      </c>
      <c r="D108" s="27">
        <v>31.999</v>
      </c>
      <c r="E108" s="27">
        <v>0.2598</v>
      </c>
      <c r="F108" s="27">
        <v>0.918</v>
      </c>
      <c r="G108" s="27">
        <v>0.658</v>
      </c>
      <c r="H108" s="27">
        <v>1.395</v>
      </c>
    </row>
    <row r="109" spans="2:8" ht="12.75">
      <c r="B109" s="26" t="s">
        <v>52</v>
      </c>
      <c r="C109" s="27" t="s">
        <v>112</v>
      </c>
      <c r="D109" s="27">
        <v>44.097</v>
      </c>
      <c r="E109" s="27">
        <v>0.1885</v>
      </c>
      <c r="F109" s="27">
        <v>1.6794</v>
      </c>
      <c r="G109" s="27">
        <v>1.4909</v>
      </c>
      <c r="H109" s="27">
        <v>1.126</v>
      </c>
    </row>
    <row r="110" spans="2:8" ht="12.75">
      <c r="B110" s="26" t="s">
        <v>113</v>
      </c>
      <c r="C110" s="27" t="s">
        <v>27</v>
      </c>
      <c r="D110" s="27">
        <v>18.015</v>
      </c>
      <c r="E110" s="27">
        <v>0.4615</v>
      </c>
      <c r="F110" s="27">
        <v>1.8723</v>
      </c>
      <c r="G110" s="27">
        <v>1.4108</v>
      </c>
      <c r="H110" s="27">
        <v>1.327</v>
      </c>
    </row>
    <row r="112" ht="12.75">
      <c r="B112" s="28" t="s">
        <v>114</v>
      </c>
    </row>
    <row r="114" ht="12.75">
      <c r="B114" s="3" t="s">
        <v>115</v>
      </c>
    </row>
    <row r="119" ht="12.75"/>
    <row r="120" ht="12.75"/>
    <row r="121" ht="12.75"/>
    <row r="122" ht="12.75"/>
    <row r="123" ht="12.75"/>
    <row r="124" ht="12.75"/>
    <row r="125" spans="3:10" ht="12.75">
      <c r="C125" s="106"/>
      <c r="D125" s="106"/>
      <c r="E125" s="106"/>
      <c r="F125" s="106"/>
      <c r="G125" s="106"/>
      <c r="H125" s="106"/>
      <c r="I125" s="104"/>
      <c r="J125" s="104"/>
    </row>
    <row r="126" ht="12.75"/>
    <row r="127" ht="12.75"/>
    <row r="128" ht="12.75"/>
    <row r="129" ht="12.75"/>
    <row r="130" ht="12.75"/>
    <row r="131" ht="12.75"/>
    <row r="132" ht="12.75"/>
    <row r="133" ht="12.75"/>
    <row r="134" ht="12.75"/>
    <row r="135" ht="12.75"/>
    <row r="136" ht="12.75"/>
    <row r="137" ht="12.75"/>
    <row r="138" ht="12.75">
      <c r="R138" s="3" t="s">
        <v>3</v>
      </c>
    </row>
    <row r="139" ht="12.75"/>
    <row r="140" ht="12.75"/>
    <row r="141" ht="12.75"/>
    <row r="142" ht="12.75"/>
    <row r="143" ht="12.75"/>
    <row r="144" ht="12.75"/>
    <row r="145" ht="12.75"/>
    <row r="147" ht="12.75">
      <c r="C147" s="3" t="s">
        <v>120</v>
      </c>
    </row>
    <row r="151" ht="12.75">
      <c r="C151" s="3" t="s">
        <v>346</v>
      </c>
    </row>
    <row r="153" spans="3:10" ht="22.5">
      <c r="C153" s="194" t="s">
        <v>121</v>
      </c>
      <c r="D153" s="184"/>
      <c r="E153" s="184"/>
      <c r="F153" s="184"/>
      <c r="G153" s="184"/>
      <c r="H153" s="184"/>
      <c r="I153" s="184"/>
      <c r="J153" s="184"/>
    </row>
    <row r="154" spans="3:12" ht="13.5">
      <c r="C154" s="184"/>
      <c r="D154" s="184"/>
      <c r="E154" s="184"/>
      <c r="F154" s="184"/>
      <c r="G154" s="184"/>
      <c r="H154" s="184"/>
      <c r="K154" s="184"/>
      <c r="L154" s="184"/>
    </row>
    <row r="155" spans="3:12" ht="13.5">
      <c r="C155" s="195" t="s">
        <v>122</v>
      </c>
      <c r="D155" s="195" t="s">
        <v>39</v>
      </c>
      <c r="E155" s="195"/>
      <c r="F155" s="195" t="s">
        <v>123</v>
      </c>
      <c r="G155" s="196"/>
      <c r="H155" s="196"/>
      <c r="K155" s="195" t="s">
        <v>124</v>
      </c>
      <c r="L155" s="195" t="s">
        <v>125</v>
      </c>
    </row>
    <row r="156" spans="3:10" ht="14.25" customHeight="1">
      <c r="C156" s="329" t="s">
        <v>126</v>
      </c>
      <c r="D156" s="330"/>
      <c r="E156" s="330"/>
      <c r="F156" s="330"/>
      <c r="G156" s="330"/>
      <c r="H156" s="330"/>
      <c r="I156" s="330"/>
      <c r="J156" s="331"/>
    </row>
    <row r="157" spans="3:12" ht="13.5">
      <c r="C157" s="186" t="s">
        <v>50</v>
      </c>
      <c r="D157" s="186">
        <v>50.009</v>
      </c>
      <c r="E157" s="186"/>
      <c r="F157" s="186" t="s">
        <v>127</v>
      </c>
      <c r="G157" s="197"/>
      <c r="H157" s="197"/>
      <c r="K157" s="186" t="s">
        <v>127</v>
      </c>
      <c r="L157" s="186">
        <v>802.34</v>
      </c>
    </row>
    <row r="158" spans="3:12" ht="13.5">
      <c r="C158" s="186" t="s">
        <v>51</v>
      </c>
      <c r="D158" s="186">
        <v>47.794</v>
      </c>
      <c r="E158" s="186"/>
      <c r="F158" s="186" t="s">
        <v>127</v>
      </c>
      <c r="G158" s="197"/>
      <c r="H158" s="197"/>
      <c r="K158" s="186" t="s">
        <v>127</v>
      </c>
      <c r="L158" s="186">
        <v>1437.17</v>
      </c>
    </row>
    <row r="159" spans="3:12" ht="13.5">
      <c r="C159" s="186" t="s">
        <v>52</v>
      </c>
      <c r="D159" s="186">
        <v>46.357</v>
      </c>
      <c r="E159" s="186"/>
      <c r="F159" s="186" t="s">
        <v>127</v>
      </c>
      <c r="G159" s="197"/>
      <c r="H159" s="197"/>
      <c r="K159" s="186" t="s">
        <v>127</v>
      </c>
      <c r="L159" s="186">
        <v>2044.21</v>
      </c>
    </row>
    <row r="160" spans="3:12" ht="13.5">
      <c r="C160" s="186" t="s">
        <v>95</v>
      </c>
      <c r="D160" s="186">
        <v>45.752</v>
      </c>
      <c r="E160" s="186"/>
      <c r="F160" s="186" t="s">
        <v>127</v>
      </c>
      <c r="G160" s="197"/>
      <c r="H160" s="197"/>
      <c r="K160" s="186" t="s">
        <v>127</v>
      </c>
      <c r="L160" s="186">
        <v>2659.3</v>
      </c>
    </row>
    <row r="161" spans="3:12" ht="13.5">
      <c r="C161" s="186" t="s">
        <v>76</v>
      </c>
      <c r="D161" s="186">
        <v>45.357</v>
      </c>
      <c r="E161" s="186"/>
      <c r="F161" s="186" t="s">
        <v>7</v>
      </c>
      <c r="G161" s="197"/>
      <c r="H161" s="197"/>
      <c r="K161" s="186" t="s">
        <v>127</v>
      </c>
      <c r="L161" s="186">
        <v>3272.57</v>
      </c>
    </row>
    <row r="162" spans="3:12" ht="13.5">
      <c r="C162" s="186" t="s">
        <v>128</v>
      </c>
      <c r="D162" s="186">
        <v>44.752</v>
      </c>
      <c r="E162" s="186"/>
      <c r="F162" s="186" t="s">
        <v>7</v>
      </c>
      <c r="G162" s="197"/>
      <c r="H162" s="197"/>
      <c r="K162" s="186" t="s">
        <v>127</v>
      </c>
      <c r="L162" s="186">
        <v>3856.66</v>
      </c>
    </row>
    <row r="163" spans="3:12" ht="13.5">
      <c r="C163" s="186" t="s">
        <v>129</v>
      </c>
      <c r="D163" s="186">
        <v>44.566</v>
      </c>
      <c r="E163" s="186"/>
      <c r="F163" s="186" t="s">
        <v>7</v>
      </c>
      <c r="G163" s="197"/>
      <c r="H163" s="197"/>
      <c r="K163" s="186" t="s">
        <v>127</v>
      </c>
      <c r="L163" s="186">
        <v>4465.76</v>
      </c>
    </row>
    <row r="164" spans="3:12" ht="13.5">
      <c r="C164" s="186" t="s">
        <v>109</v>
      </c>
      <c r="D164" s="186">
        <v>44.427</v>
      </c>
      <c r="E164" s="186"/>
      <c r="F164" s="186" t="s">
        <v>7</v>
      </c>
      <c r="G164" s="197"/>
      <c r="H164" s="197"/>
      <c r="K164" s="186" t="s">
        <v>127</v>
      </c>
      <c r="L164" s="186" t="s">
        <v>127</v>
      </c>
    </row>
    <row r="165" spans="3:12" ht="13.5">
      <c r="C165" s="186" t="s">
        <v>130</v>
      </c>
      <c r="D165" s="186">
        <v>44.311</v>
      </c>
      <c r="E165" s="186"/>
      <c r="F165" s="186" t="s">
        <v>7</v>
      </c>
      <c r="G165" s="197"/>
      <c r="H165" s="197"/>
      <c r="K165" s="186" t="s">
        <v>127</v>
      </c>
      <c r="L165" s="186" t="s">
        <v>127</v>
      </c>
    </row>
    <row r="166" spans="3:12" ht="13.5">
      <c r="C166" s="186" t="s">
        <v>131</v>
      </c>
      <c r="D166" s="186">
        <v>44.24</v>
      </c>
      <c r="E166" s="186"/>
      <c r="F166" s="186" t="s">
        <v>127</v>
      </c>
      <c r="G166" s="197"/>
      <c r="H166" s="197"/>
      <c r="K166" s="186" t="s">
        <v>127</v>
      </c>
      <c r="L166" s="186" t="s">
        <v>127</v>
      </c>
    </row>
    <row r="167" spans="3:12" ht="13.5">
      <c r="C167" s="186" t="s">
        <v>132</v>
      </c>
      <c r="D167" s="186">
        <v>44.194</v>
      </c>
      <c r="E167" s="186"/>
      <c r="F167" s="186" t="s">
        <v>127</v>
      </c>
      <c r="G167" s="197"/>
      <c r="H167" s="197"/>
      <c r="K167" s="186" t="s">
        <v>127</v>
      </c>
      <c r="L167" s="186" t="s">
        <v>127</v>
      </c>
    </row>
    <row r="168" spans="3:12" ht="13.5">
      <c r="C168" s="186" t="s">
        <v>133</v>
      </c>
      <c r="D168" s="186">
        <v>44.147</v>
      </c>
      <c r="E168" s="186"/>
      <c r="F168" s="186" t="s">
        <v>127</v>
      </c>
      <c r="G168" s="197"/>
      <c r="H168" s="197"/>
      <c r="K168" s="186" t="s">
        <v>127</v>
      </c>
      <c r="L168" s="186" t="s">
        <v>127</v>
      </c>
    </row>
    <row r="169" spans="3:10" ht="14.25" customHeight="1">
      <c r="C169" s="329" t="s">
        <v>134</v>
      </c>
      <c r="D169" s="330"/>
      <c r="E169" s="330"/>
      <c r="F169" s="330"/>
      <c r="G169" s="330"/>
      <c r="H169" s="330"/>
      <c r="I169" s="330"/>
      <c r="J169" s="331"/>
    </row>
    <row r="170" spans="3:12" ht="13.5">
      <c r="C170" s="186" t="s">
        <v>135</v>
      </c>
      <c r="D170" s="186">
        <v>45.613</v>
      </c>
      <c r="E170" s="186"/>
      <c r="F170" s="186" t="s">
        <v>127</v>
      </c>
      <c r="G170" s="197"/>
      <c r="H170" s="197"/>
      <c r="K170" s="186" t="s">
        <v>127</v>
      </c>
      <c r="L170" s="186" t="s">
        <v>127</v>
      </c>
    </row>
    <row r="171" spans="3:12" ht="13.5">
      <c r="C171" s="186" t="s">
        <v>136</v>
      </c>
      <c r="D171" s="186">
        <v>45.241</v>
      </c>
      <c r="E171" s="186"/>
      <c r="F171" s="186" t="s">
        <v>127</v>
      </c>
      <c r="G171" s="197"/>
      <c r="H171" s="197"/>
      <c r="K171" s="186" t="s">
        <v>127</v>
      </c>
      <c r="L171" s="186" t="s">
        <v>127</v>
      </c>
    </row>
    <row r="172" spans="3:12" ht="27">
      <c r="C172" s="186" t="s">
        <v>137</v>
      </c>
      <c r="D172" s="186">
        <v>44.682</v>
      </c>
      <c r="E172" s="186"/>
      <c r="F172" s="186" t="s">
        <v>127</v>
      </c>
      <c r="G172" s="197"/>
      <c r="H172" s="197"/>
      <c r="K172" s="186" t="s">
        <v>127</v>
      </c>
      <c r="L172" s="186" t="s">
        <v>127</v>
      </c>
    </row>
    <row r="173" spans="3:12" ht="27">
      <c r="C173" s="186" t="s">
        <v>138</v>
      </c>
      <c r="D173" s="186">
        <v>44.659</v>
      </c>
      <c r="E173" s="186"/>
      <c r="F173" s="186" t="s">
        <v>127</v>
      </c>
      <c r="G173" s="197"/>
      <c r="H173" s="197"/>
      <c r="K173" s="186" t="s">
        <v>127</v>
      </c>
      <c r="L173" s="186" t="s">
        <v>127</v>
      </c>
    </row>
    <row r="174" spans="3:12" ht="41.25">
      <c r="C174" s="186" t="s">
        <v>139</v>
      </c>
      <c r="D174" s="186">
        <v>44.496</v>
      </c>
      <c r="E174" s="186"/>
      <c r="F174" s="186" t="s">
        <v>127</v>
      </c>
      <c r="G174" s="197"/>
      <c r="H174" s="197"/>
      <c r="K174" s="186" t="s">
        <v>127</v>
      </c>
      <c r="L174" s="186" t="s">
        <v>127</v>
      </c>
    </row>
    <row r="175" spans="3:12" ht="41.25">
      <c r="C175" s="186" t="s">
        <v>140</v>
      </c>
      <c r="D175" s="186">
        <v>44.31</v>
      </c>
      <c r="E175" s="186"/>
      <c r="F175" s="186" t="s">
        <v>7</v>
      </c>
      <c r="G175" s="197"/>
      <c r="H175" s="197"/>
      <c r="K175" s="186" t="s">
        <v>127</v>
      </c>
      <c r="L175" s="186" t="s">
        <v>127</v>
      </c>
    </row>
    <row r="176" spans="3:10" ht="14.25" customHeight="1">
      <c r="C176" s="329" t="s">
        <v>141</v>
      </c>
      <c r="D176" s="330"/>
      <c r="E176" s="330"/>
      <c r="F176" s="330"/>
      <c r="G176" s="330"/>
      <c r="H176" s="330"/>
      <c r="I176" s="330"/>
      <c r="J176" s="331"/>
    </row>
    <row r="177" spans="3:12" ht="13.5">
      <c r="C177" s="186" t="s">
        <v>142</v>
      </c>
      <c r="D177" s="186">
        <v>44.636</v>
      </c>
      <c r="E177" s="186"/>
      <c r="F177" s="186" t="s">
        <v>127</v>
      </c>
      <c r="G177" s="197"/>
      <c r="H177" s="197"/>
      <c r="K177" s="186" t="s">
        <v>127</v>
      </c>
      <c r="L177" s="186" t="s">
        <v>127</v>
      </c>
    </row>
    <row r="178" spans="3:12" ht="27">
      <c r="C178" s="186" t="s">
        <v>143</v>
      </c>
      <c r="D178" s="186">
        <v>44.636</v>
      </c>
      <c r="E178" s="186"/>
      <c r="F178" s="186" t="s">
        <v>127</v>
      </c>
      <c r="G178" s="197"/>
      <c r="H178" s="197"/>
      <c r="K178" s="186" t="s">
        <v>127</v>
      </c>
      <c r="L178" s="186" t="s">
        <v>127</v>
      </c>
    </row>
    <row r="179" spans="3:12" ht="13.5">
      <c r="C179" s="186" t="s">
        <v>144</v>
      </c>
      <c r="D179" s="186">
        <v>43.45</v>
      </c>
      <c r="E179" s="186"/>
      <c r="F179" s="186" t="s">
        <v>127</v>
      </c>
      <c r="G179" s="197"/>
      <c r="H179" s="197"/>
      <c r="K179" s="186" t="s">
        <v>127</v>
      </c>
      <c r="L179" s="186" t="s">
        <v>127</v>
      </c>
    </row>
    <row r="180" spans="3:12" ht="27">
      <c r="C180" s="186" t="s">
        <v>145</v>
      </c>
      <c r="D180" s="186">
        <v>43.38</v>
      </c>
      <c r="E180" s="186"/>
      <c r="F180" s="186" t="s">
        <v>127</v>
      </c>
      <c r="G180" s="197"/>
      <c r="H180" s="197"/>
      <c r="K180" s="186" t="s">
        <v>127</v>
      </c>
      <c r="L180" s="186" t="s">
        <v>127</v>
      </c>
    </row>
    <row r="181" spans="3:10" ht="14.25" customHeight="1">
      <c r="C181" s="329" t="s">
        <v>146</v>
      </c>
      <c r="D181" s="330"/>
      <c r="E181" s="330"/>
      <c r="F181" s="330"/>
      <c r="G181" s="330"/>
      <c r="H181" s="330"/>
      <c r="I181" s="330"/>
      <c r="J181" s="331"/>
    </row>
    <row r="182" spans="3:12" ht="13.5">
      <c r="C182" s="186" t="s">
        <v>101</v>
      </c>
      <c r="D182" s="186">
        <v>47.195</v>
      </c>
      <c r="E182" s="186"/>
      <c r="F182" s="186" t="s">
        <v>127</v>
      </c>
      <c r="G182" s="197"/>
      <c r="H182" s="197"/>
      <c r="K182" s="186" t="s">
        <v>127</v>
      </c>
      <c r="L182" s="186" t="s">
        <v>127</v>
      </c>
    </row>
    <row r="183" spans="3:12" ht="13.5">
      <c r="C183" s="186" t="s">
        <v>147</v>
      </c>
      <c r="D183" s="186">
        <v>45.799</v>
      </c>
      <c r="E183" s="186"/>
      <c r="F183" s="186" t="s">
        <v>127</v>
      </c>
      <c r="G183" s="197"/>
      <c r="H183" s="197"/>
      <c r="K183" s="186" t="s">
        <v>127</v>
      </c>
      <c r="L183" s="186" t="s">
        <v>127</v>
      </c>
    </row>
    <row r="184" spans="3:12" ht="13.5">
      <c r="C184" s="186" t="s">
        <v>148</v>
      </c>
      <c r="D184" s="186">
        <v>45.334</v>
      </c>
      <c r="E184" s="186"/>
      <c r="F184" s="186" t="s">
        <v>127</v>
      </c>
      <c r="G184" s="197"/>
      <c r="H184" s="197"/>
      <c r="K184" s="186" t="s">
        <v>127</v>
      </c>
      <c r="L184" s="186" t="s">
        <v>127</v>
      </c>
    </row>
    <row r="185" spans="3:12" ht="13.5">
      <c r="C185" s="186" t="s">
        <v>149</v>
      </c>
      <c r="D185" s="186">
        <v>45.194</v>
      </c>
      <c r="E185" s="186"/>
      <c r="F185" s="186" t="s">
        <v>127</v>
      </c>
      <c r="G185" s="197"/>
      <c r="H185" s="197"/>
      <c r="K185" s="186" t="s">
        <v>127</v>
      </c>
      <c r="L185" s="186" t="s">
        <v>127</v>
      </c>
    </row>
    <row r="186" spans="3:12" ht="13.5">
      <c r="C186" s="186" t="s">
        <v>150</v>
      </c>
      <c r="D186" s="186">
        <v>45.124</v>
      </c>
      <c r="E186" s="186"/>
      <c r="F186" s="186" t="s">
        <v>127</v>
      </c>
      <c r="G186" s="197"/>
      <c r="H186" s="197"/>
      <c r="K186" s="186" t="s">
        <v>127</v>
      </c>
      <c r="L186" s="186" t="s">
        <v>127</v>
      </c>
    </row>
    <row r="187" spans="3:12" ht="13.5">
      <c r="C187" s="186" t="s">
        <v>151</v>
      </c>
      <c r="D187" s="186">
        <v>45.055</v>
      </c>
      <c r="E187" s="186"/>
      <c r="F187" s="186" t="s">
        <v>127</v>
      </c>
      <c r="G187" s="197"/>
      <c r="H187" s="197"/>
      <c r="K187" s="186" t="s">
        <v>127</v>
      </c>
      <c r="L187" s="186" t="s">
        <v>127</v>
      </c>
    </row>
    <row r="188" spans="3:12" ht="13.5">
      <c r="C188" s="186" t="s">
        <v>152</v>
      </c>
      <c r="D188" s="186">
        <v>45.031</v>
      </c>
      <c r="E188" s="186"/>
      <c r="F188" s="186" t="s">
        <v>127</v>
      </c>
      <c r="G188" s="197"/>
      <c r="H188" s="197"/>
      <c r="K188" s="186" t="s">
        <v>127</v>
      </c>
      <c r="L188" s="186" t="s">
        <v>127</v>
      </c>
    </row>
    <row r="189" spans="3:12" ht="27">
      <c r="C189" s="186" t="s">
        <v>153</v>
      </c>
      <c r="D189" s="186">
        <v>44.799</v>
      </c>
      <c r="E189" s="186"/>
      <c r="F189" s="186" t="s">
        <v>127</v>
      </c>
      <c r="G189" s="197"/>
      <c r="H189" s="197"/>
      <c r="K189" s="186" t="s">
        <v>127</v>
      </c>
      <c r="L189" s="186" t="s">
        <v>127</v>
      </c>
    </row>
    <row r="190" spans="3:12" ht="13.5">
      <c r="C190" s="186" t="s">
        <v>154</v>
      </c>
      <c r="D190" s="186">
        <v>44.426</v>
      </c>
      <c r="E190" s="186"/>
      <c r="F190" s="186" t="s">
        <v>127</v>
      </c>
      <c r="G190" s="197"/>
      <c r="H190" s="197"/>
      <c r="K190" s="186" t="s">
        <v>127</v>
      </c>
      <c r="L190" s="186" t="s">
        <v>127</v>
      </c>
    </row>
    <row r="191" spans="3:10" ht="14.25" customHeight="1">
      <c r="C191" s="329" t="s">
        <v>155</v>
      </c>
      <c r="D191" s="330"/>
      <c r="E191" s="330"/>
      <c r="F191" s="330"/>
      <c r="G191" s="330"/>
      <c r="H191" s="330"/>
      <c r="I191" s="330"/>
      <c r="J191" s="331"/>
    </row>
    <row r="192" spans="3:12" ht="13.5">
      <c r="C192" s="186" t="s">
        <v>156</v>
      </c>
      <c r="D192" s="186">
        <v>44.613</v>
      </c>
      <c r="E192" s="186"/>
      <c r="F192" s="186" t="s">
        <v>127</v>
      </c>
      <c r="G192" s="197"/>
      <c r="H192" s="197"/>
      <c r="K192" s="186" t="s">
        <v>127</v>
      </c>
      <c r="L192" s="186" t="s">
        <v>127</v>
      </c>
    </row>
    <row r="193" spans="3:12" ht="13.5">
      <c r="C193" s="186" t="s">
        <v>157</v>
      </c>
      <c r="D193" s="186">
        <v>44.078</v>
      </c>
      <c r="E193" s="186"/>
      <c r="F193" s="186" t="s">
        <v>7</v>
      </c>
      <c r="G193" s="197"/>
      <c r="H193" s="197"/>
      <c r="K193" s="186" t="s">
        <v>127</v>
      </c>
      <c r="L193" s="186" t="s">
        <v>127</v>
      </c>
    </row>
    <row r="194" spans="3:10" ht="14.25" customHeight="1">
      <c r="C194" s="329" t="s">
        <v>158</v>
      </c>
      <c r="D194" s="330"/>
      <c r="E194" s="330"/>
      <c r="F194" s="330"/>
      <c r="G194" s="330"/>
      <c r="H194" s="330"/>
      <c r="I194" s="330"/>
      <c r="J194" s="331"/>
    </row>
    <row r="195" spans="3:12" ht="13.5">
      <c r="C195" s="186" t="s">
        <v>159</v>
      </c>
      <c r="D195" s="186">
        <v>10.513</v>
      </c>
      <c r="E195" s="186"/>
      <c r="F195" s="186" t="s">
        <v>127</v>
      </c>
      <c r="G195" s="197"/>
      <c r="H195" s="197"/>
      <c r="K195" s="186" t="s">
        <v>127</v>
      </c>
      <c r="L195" s="186" t="s">
        <v>127</v>
      </c>
    </row>
    <row r="196" spans="3:12" ht="13.5">
      <c r="C196" s="186" t="s">
        <v>160</v>
      </c>
      <c r="D196" s="186">
        <v>20.693</v>
      </c>
      <c r="E196" s="186"/>
      <c r="F196" s="186" t="s">
        <v>127</v>
      </c>
      <c r="G196" s="197"/>
      <c r="H196" s="197"/>
      <c r="K196" s="186" t="s">
        <v>127</v>
      </c>
      <c r="L196" s="186" t="s">
        <v>127</v>
      </c>
    </row>
    <row r="197" spans="3:10" ht="14.25" customHeight="1">
      <c r="C197" s="329" t="s">
        <v>161</v>
      </c>
      <c r="D197" s="330"/>
      <c r="E197" s="330"/>
      <c r="F197" s="330"/>
      <c r="G197" s="330"/>
      <c r="H197" s="330"/>
      <c r="I197" s="330"/>
      <c r="J197" s="331"/>
    </row>
    <row r="198" spans="3:12" ht="13.5">
      <c r="C198" s="186" t="s">
        <v>162</v>
      </c>
      <c r="D198" s="186">
        <v>48.241</v>
      </c>
      <c r="E198" s="186"/>
      <c r="F198" s="186" t="s">
        <v>127</v>
      </c>
      <c r="G198" s="197"/>
      <c r="H198" s="197"/>
      <c r="K198" s="186" t="s">
        <v>127</v>
      </c>
      <c r="L198" s="186" t="s">
        <v>127</v>
      </c>
    </row>
    <row r="199" spans="3:12" ht="27">
      <c r="C199" s="186" t="s">
        <v>163</v>
      </c>
      <c r="D199" s="186">
        <v>46.194</v>
      </c>
      <c r="E199" s="186"/>
      <c r="F199" s="186" t="s">
        <v>127</v>
      </c>
      <c r="G199" s="197"/>
      <c r="H199" s="197"/>
      <c r="K199" s="186" t="s">
        <v>127</v>
      </c>
      <c r="L199" s="186" t="s">
        <v>127</v>
      </c>
    </row>
    <row r="200" spans="3:12" ht="13.5">
      <c r="C200" s="186" t="s">
        <v>164</v>
      </c>
      <c r="D200" s="186">
        <v>45.59</v>
      </c>
      <c r="E200" s="186"/>
      <c r="F200" s="186" t="s">
        <v>127</v>
      </c>
      <c r="G200" s="197"/>
      <c r="H200" s="197"/>
      <c r="K200" s="186" t="s">
        <v>127</v>
      </c>
      <c r="L200" s="186" t="s">
        <v>127</v>
      </c>
    </row>
    <row r="201" spans="3:12" ht="13.5">
      <c r="C201" s="186" t="s">
        <v>165</v>
      </c>
      <c r="D201" s="186">
        <v>45.217</v>
      </c>
      <c r="E201" s="186"/>
      <c r="F201" s="186" t="s">
        <v>127</v>
      </c>
      <c r="G201" s="197"/>
      <c r="H201" s="197"/>
      <c r="K201" s="186" t="s">
        <v>127</v>
      </c>
      <c r="L201" s="186" t="s">
        <v>127</v>
      </c>
    </row>
    <row r="202" spans="3:10" ht="14.25" customHeight="1">
      <c r="C202" s="329" t="s">
        <v>166</v>
      </c>
      <c r="D202" s="330"/>
      <c r="E202" s="330"/>
      <c r="F202" s="330"/>
      <c r="G202" s="330"/>
      <c r="H202" s="330"/>
      <c r="I202" s="330"/>
      <c r="J202" s="331"/>
    </row>
    <row r="203" spans="3:12" ht="13.5">
      <c r="C203" s="186" t="s">
        <v>167</v>
      </c>
      <c r="D203" s="186">
        <v>40.17</v>
      </c>
      <c r="E203" s="186"/>
      <c r="F203" s="186" t="s">
        <v>127</v>
      </c>
      <c r="G203" s="197"/>
      <c r="H203" s="197"/>
      <c r="K203" s="186" t="s">
        <v>127</v>
      </c>
      <c r="L203" s="186" t="s">
        <v>127</v>
      </c>
    </row>
    <row r="204" spans="3:12" ht="13.5">
      <c r="C204" s="186" t="s">
        <v>168</v>
      </c>
      <c r="D204" s="186">
        <v>40.589</v>
      </c>
      <c r="E204" s="186"/>
      <c r="F204" s="186" t="s">
        <v>127</v>
      </c>
      <c r="G204" s="197"/>
      <c r="H204" s="197"/>
      <c r="K204" s="186" t="s">
        <v>127</v>
      </c>
      <c r="L204" s="186" t="s">
        <v>127</v>
      </c>
    </row>
    <row r="205" spans="3:12" ht="13.5">
      <c r="C205" s="186" t="s">
        <v>169</v>
      </c>
      <c r="D205" s="186">
        <v>40.961</v>
      </c>
      <c r="E205" s="186"/>
      <c r="F205" s="186" t="s">
        <v>127</v>
      </c>
      <c r="G205" s="197"/>
      <c r="H205" s="197"/>
      <c r="K205" s="186" t="s">
        <v>127</v>
      </c>
      <c r="L205" s="186" t="s">
        <v>127</v>
      </c>
    </row>
    <row r="206" spans="3:12" ht="13.5">
      <c r="C206" s="186" t="s">
        <v>170</v>
      </c>
      <c r="D206" s="186">
        <v>40.961</v>
      </c>
      <c r="E206" s="186"/>
      <c r="F206" s="186" t="s">
        <v>127</v>
      </c>
      <c r="G206" s="197"/>
      <c r="H206" s="197"/>
      <c r="K206" s="186" t="s">
        <v>127</v>
      </c>
      <c r="L206" s="186" t="s">
        <v>127</v>
      </c>
    </row>
    <row r="207" spans="3:12" ht="13.5">
      <c r="C207" s="186" t="s">
        <v>171</v>
      </c>
      <c r="D207" s="186">
        <v>40.798</v>
      </c>
      <c r="E207" s="186"/>
      <c r="F207" s="186" t="s">
        <v>127</v>
      </c>
      <c r="G207" s="197"/>
      <c r="H207" s="197"/>
      <c r="K207" s="186" t="s">
        <v>127</v>
      </c>
      <c r="L207" s="186" t="s">
        <v>127</v>
      </c>
    </row>
    <row r="208" spans="3:12" ht="13.5">
      <c r="C208" s="186" t="s">
        <v>172</v>
      </c>
      <c r="D208" s="186">
        <v>40.938</v>
      </c>
      <c r="E208" s="186"/>
      <c r="F208" s="186" t="s">
        <v>127</v>
      </c>
      <c r="G208" s="197"/>
      <c r="H208" s="197"/>
      <c r="K208" s="186" t="s">
        <v>127</v>
      </c>
      <c r="L208" s="186" t="s">
        <v>127</v>
      </c>
    </row>
    <row r="209" spans="3:12" ht="41.25">
      <c r="C209" s="186" t="s">
        <v>173</v>
      </c>
      <c r="D209" s="186">
        <v>40.984</v>
      </c>
      <c r="E209" s="186"/>
      <c r="F209" s="186" t="s">
        <v>127</v>
      </c>
      <c r="G209" s="197"/>
      <c r="H209" s="197"/>
      <c r="K209" s="186" t="s">
        <v>127</v>
      </c>
      <c r="L209" s="186" t="s">
        <v>127</v>
      </c>
    </row>
    <row r="210" spans="3:12" ht="13.5">
      <c r="C210" s="186" t="s">
        <v>174</v>
      </c>
      <c r="D210" s="186">
        <v>41.193</v>
      </c>
      <c r="E210" s="186"/>
      <c r="F210" s="186" t="s">
        <v>127</v>
      </c>
      <c r="G210" s="197"/>
      <c r="H210" s="197"/>
      <c r="K210" s="186" t="s">
        <v>127</v>
      </c>
      <c r="L210" s="186" t="s">
        <v>127</v>
      </c>
    </row>
    <row r="211" spans="3:12" ht="13.5">
      <c r="C211" s="186" t="s">
        <v>175</v>
      </c>
      <c r="D211" s="186">
        <v>41.217</v>
      </c>
      <c r="E211" s="186"/>
      <c r="F211" s="186" t="s">
        <v>127</v>
      </c>
      <c r="G211" s="197"/>
      <c r="H211" s="197"/>
      <c r="K211" s="186" t="s">
        <v>127</v>
      </c>
      <c r="L211" s="186" t="s">
        <v>127</v>
      </c>
    </row>
    <row r="212" spans="3:10" ht="14.25" customHeight="1">
      <c r="C212" s="329" t="s">
        <v>176</v>
      </c>
      <c r="D212" s="330"/>
      <c r="E212" s="330"/>
      <c r="F212" s="330"/>
      <c r="G212" s="330"/>
      <c r="H212" s="330"/>
      <c r="I212" s="330"/>
      <c r="J212" s="331"/>
    </row>
    <row r="213" spans="3:12" ht="13.5">
      <c r="C213" s="186" t="s">
        <v>177</v>
      </c>
      <c r="D213" s="186" t="s">
        <v>127</v>
      </c>
      <c r="E213" s="186"/>
      <c r="F213" s="186" t="s">
        <v>127</v>
      </c>
      <c r="G213" s="197"/>
      <c r="H213" s="197"/>
      <c r="K213" s="186" t="s">
        <v>127</v>
      </c>
      <c r="L213" s="198"/>
    </row>
    <row r="214" spans="3:12" ht="13.5">
      <c r="C214" s="186" t="s">
        <v>178</v>
      </c>
      <c r="D214" s="186">
        <v>28.865</v>
      </c>
      <c r="E214" s="186"/>
      <c r="F214" s="186" t="s">
        <v>127</v>
      </c>
      <c r="G214" s="197"/>
      <c r="H214" s="197"/>
      <c r="K214" s="186" t="s">
        <v>127</v>
      </c>
      <c r="L214" s="186" t="s">
        <v>127</v>
      </c>
    </row>
    <row r="215" spans="3:12" ht="13.5">
      <c r="C215" s="186" t="s">
        <v>179</v>
      </c>
      <c r="D215" s="186">
        <v>30.68</v>
      </c>
      <c r="E215" s="186"/>
      <c r="F215" s="186" t="s">
        <v>127</v>
      </c>
      <c r="G215" s="197"/>
      <c r="H215" s="197"/>
      <c r="K215" s="186" t="s">
        <v>127</v>
      </c>
      <c r="L215" s="186" t="s">
        <v>127</v>
      </c>
    </row>
    <row r="216" spans="3:12" ht="13.5">
      <c r="C216" s="186" t="s">
        <v>180</v>
      </c>
      <c r="D216" s="186">
        <v>30.447</v>
      </c>
      <c r="E216" s="186"/>
      <c r="F216" s="186" t="s">
        <v>127</v>
      </c>
      <c r="G216" s="197"/>
      <c r="H216" s="197"/>
      <c r="K216" s="186" t="s">
        <v>127</v>
      </c>
      <c r="L216" s="186" t="s">
        <v>127</v>
      </c>
    </row>
    <row r="217" spans="3:12" ht="13.5">
      <c r="C217" s="186" t="s">
        <v>181</v>
      </c>
      <c r="D217" s="186">
        <v>33.075</v>
      </c>
      <c r="E217" s="186"/>
      <c r="F217" s="186" t="s">
        <v>127</v>
      </c>
      <c r="G217" s="197"/>
      <c r="H217" s="197"/>
      <c r="K217" s="186" t="s">
        <v>127</v>
      </c>
      <c r="L217" s="186" t="s">
        <v>127</v>
      </c>
    </row>
    <row r="218" spans="3:12" ht="13.5">
      <c r="C218" s="186" t="s">
        <v>182</v>
      </c>
      <c r="D218" s="186">
        <v>32.959</v>
      </c>
      <c r="E218" s="186"/>
      <c r="F218" s="186" t="s">
        <v>127</v>
      </c>
      <c r="G218" s="197"/>
      <c r="H218" s="197"/>
      <c r="K218" s="186" t="s">
        <v>127</v>
      </c>
      <c r="L218" s="186" t="s">
        <v>127</v>
      </c>
    </row>
    <row r="219" spans="3:12" ht="13.5">
      <c r="C219" s="186" t="s">
        <v>183</v>
      </c>
      <c r="D219" s="186">
        <v>32.587</v>
      </c>
      <c r="E219" s="186"/>
      <c r="F219" s="186" t="s">
        <v>127</v>
      </c>
      <c r="G219" s="197"/>
      <c r="H219" s="197"/>
      <c r="K219" s="186" t="s">
        <v>127</v>
      </c>
      <c r="L219" s="186" t="s">
        <v>127</v>
      </c>
    </row>
    <row r="220" spans="3:12" ht="13.5">
      <c r="C220" s="186" t="s">
        <v>184</v>
      </c>
      <c r="D220" s="186">
        <v>34.727</v>
      </c>
      <c r="E220" s="186"/>
      <c r="F220" s="186" t="s">
        <v>127</v>
      </c>
      <c r="G220" s="197"/>
      <c r="H220" s="197"/>
      <c r="K220" s="186" t="s">
        <v>127</v>
      </c>
      <c r="L220" s="186" t="s">
        <v>127</v>
      </c>
    </row>
    <row r="221" spans="3:10" ht="14.25" customHeight="1">
      <c r="C221" s="329" t="s">
        <v>185</v>
      </c>
      <c r="D221" s="330"/>
      <c r="E221" s="330"/>
      <c r="F221" s="330"/>
      <c r="G221" s="330"/>
      <c r="H221" s="330"/>
      <c r="I221" s="330"/>
      <c r="J221" s="331"/>
    </row>
    <row r="222" spans="3:12" ht="27">
      <c r="C222" s="186" t="s">
        <v>186</v>
      </c>
      <c r="D222" s="186">
        <v>28.703</v>
      </c>
      <c r="E222" s="186"/>
      <c r="F222" s="186" t="s">
        <v>127</v>
      </c>
      <c r="G222" s="197"/>
      <c r="H222" s="197"/>
      <c r="K222" s="186" t="s">
        <v>127</v>
      </c>
      <c r="L222" s="186" t="s">
        <v>127</v>
      </c>
    </row>
    <row r="223" spans="3:12" ht="13.5">
      <c r="C223" s="186" t="s">
        <v>187</v>
      </c>
      <c r="D223" s="186">
        <v>33.867</v>
      </c>
      <c r="E223" s="186"/>
      <c r="F223" s="186" t="s">
        <v>127</v>
      </c>
      <c r="G223" s="197"/>
      <c r="H223" s="197"/>
      <c r="K223" s="186" t="s">
        <v>127</v>
      </c>
      <c r="L223" s="186" t="s">
        <v>127</v>
      </c>
    </row>
    <row r="224" spans="3:12" ht="27">
      <c r="C224" s="186" t="s">
        <v>188</v>
      </c>
      <c r="D224" s="186">
        <v>36.355</v>
      </c>
      <c r="E224" s="186"/>
      <c r="F224" s="186" t="s">
        <v>127</v>
      </c>
      <c r="G224" s="197"/>
      <c r="H224" s="197"/>
      <c r="K224" s="186" t="s">
        <v>127</v>
      </c>
      <c r="L224" s="186" t="s">
        <v>127</v>
      </c>
    </row>
    <row r="225" spans="3:12" ht="13.5">
      <c r="C225" s="186" t="s">
        <v>189</v>
      </c>
      <c r="D225" s="186">
        <v>37.798</v>
      </c>
      <c r="E225" s="186"/>
      <c r="F225" s="186" t="s">
        <v>127</v>
      </c>
      <c r="G225" s="197"/>
      <c r="H225" s="197"/>
      <c r="K225" s="186" t="s">
        <v>127</v>
      </c>
      <c r="L225" s="186" t="s">
        <v>127</v>
      </c>
    </row>
    <row r="226" spans="3:10" ht="14.25" customHeight="1">
      <c r="C226" s="329" t="s">
        <v>190</v>
      </c>
      <c r="D226" s="330"/>
      <c r="E226" s="330"/>
      <c r="F226" s="330"/>
      <c r="G226" s="330"/>
      <c r="H226" s="330"/>
      <c r="I226" s="330"/>
      <c r="J226" s="331"/>
    </row>
    <row r="227" spans="3:12" ht="13.5">
      <c r="C227" s="186" t="s">
        <v>191</v>
      </c>
      <c r="D227" s="186">
        <v>17.259</v>
      </c>
      <c r="E227" s="186"/>
      <c r="F227" s="186" t="s">
        <v>127</v>
      </c>
      <c r="G227" s="197"/>
      <c r="H227" s="197"/>
      <c r="K227" s="186" t="s">
        <v>127</v>
      </c>
      <c r="L227" s="186" t="s">
        <v>127</v>
      </c>
    </row>
    <row r="228" spans="3:12" ht="13.5">
      <c r="C228" s="186" t="s">
        <v>192</v>
      </c>
      <c r="D228" s="186">
        <v>24.156</v>
      </c>
      <c r="E228" s="186"/>
      <c r="F228" s="186" t="s">
        <v>127</v>
      </c>
      <c r="G228" s="197"/>
      <c r="H228" s="197"/>
      <c r="K228" s="186" t="s">
        <v>127</v>
      </c>
      <c r="L228" s="186" t="s">
        <v>127</v>
      </c>
    </row>
    <row r="229" spans="3:12" ht="27">
      <c r="C229" s="186" t="s">
        <v>193</v>
      </c>
      <c r="D229" s="186">
        <v>28.889</v>
      </c>
      <c r="E229" s="186"/>
      <c r="F229" s="186" t="s">
        <v>127</v>
      </c>
      <c r="G229" s="197"/>
      <c r="H229" s="197"/>
      <c r="K229" s="186" t="s">
        <v>127</v>
      </c>
      <c r="L229" s="186" t="s">
        <v>127</v>
      </c>
    </row>
    <row r="230" spans="3:12" ht="13.5">
      <c r="C230" s="186" t="s">
        <v>194</v>
      </c>
      <c r="D230" s="186">
        <v>31.61</v>
      </c>
      <c r="E230" s="186"/>
      <c r="F230" s="186" t="s">
        <v>127</v>
      </c>
      <c r="G230" s="197"/>
      <c r="H230" s="197"/>
      <c r="K230" s="186" t="s">
        <v>127</v>
      </c>
      <c r="L230" s="186" t="s">
        <v>127</v>
      </c>
    </row>
    <row r="231" spans="3:12" ht="13.5">
      <c r="C231" s="186" t="s">
        <v>195</v>
      </c>
      <c r="D231" s="186">
        <v>28.548</v>
      </c>
      <c r="E231" s="186"/>
      <c r="F231" s="186" t="s">
        <v>127</v>
      </c>
      <c r="G231" s="197"/>
      <c r="H231" s="197"/>
      <c r="K231" s="186" t="s">
        <v>127</v>
      </c>
      <c r="L231" s="186" t="s">
        <v>127</v>
      </c>
    </row>
    <row r="232" spans="3:10" ht="14.25" customHeight="1">
      <c r="C232" s="329" t="s">
        <v>196</v>
      </c>
      <c r="D232" s="330"/>
      <c r="E232" s="330"/>
      <c r="F232" s="330"/>
      <c r="G232" s="330"/>
      <c r="H232" s="330"/>
      <c r="I232" s="330"/>
      <c r="J232" s="331"/>
    </row>
    <row r="233" spans="3:12" ht="27">
      <c r="C233" s="186" t="s">
        <v>197</v>
      </c>
      <c r="D233" s="186">
        <v>32.808</v>
      </c>
      <c r="E233" s="186"/>
      <c r="F233" s="186" t="s">
        <v>127</v>
      </c>
      <c r="G233" s="197"/>
      <c r="H233" s="197"/>
      <c r="K233" s="186" t="s">
        <v>127</v>
      </c>
      <c r="L233" s="186" t="s">
        <v>127</v>
      </c>
    </row>
    <row r="234" spans="3:12" ht="13.5">
      <c r="C234" s="186" t="s">
        <v>68</v>
      </c>
      <c r="D234" s="186">
        <v>120.971</v>
      </c>
      <c r="E234" s="186"/>
      <c r="F234" s="186" t="s">
        <v>127</v>
      </c>
      <c r="G234" s="197"/>
      <c r="H234" s="197"/>
      <c r="K234" s="186" t="s">
        <v>127</v>
      </c>
      <c r="L234" s="186" t="s">
        <v>127</v>
      </c>
    </row>
    <row r="235" spans="3:12" ht="27">
      <c r="C235" s="186" t="s">
        <v>198</v>
      </c>
      <c r="D235" s="186">
        <v>10.112</v>
      </c>
      <c r="E235" s="186"/>
      <c r="F235" s="186" t="s">
        <v>127</v>
      </c>
      <c r="G235" s="197"/>
      <c r="H235" s="197"/>
      <c r="K235" s="186" t="s">
        <v>127</v>
      </c>
      <c r="L235" s="186" t="s">
        <v>127</v>
      </c>
    </row>
    <row r="236" spans="3:12" ht="13.5">
      <c r="C236" s="186" t="s">
        <v>199</v>
      </c>
      <c r="D236" s="186">
        <v>18.646</v>
      </c>
      <c r="E236" s="186"/>
      <c r="F236" s="186" t="s">
        <v>127</v>
      </c>
      <c r="G236" s="197"/>
      <c r="H236" s="197"/>
      <c r="K236" s="186" t="s">
        <v>127</v>
      </c>
      <c r="L236" s="186" t="s">
        <v>127</v>
      </c>
    </row>
    <row r="237" spans="3:12" ht="13.5">
      <c r="C237" s="186" t="s">
        <v>435</v>
      </c>
      <c r="D237" s="186">
        <v>9.163</v>
      </c>
      <c r="E237" s="186"/>
      <c r="F237" s="186" t="s">
        <v>127</v>
      </c>
      <c r="G237" s="197"/>
      <c r="H237" s="197"/>
      <c r="K237" s="186" t="s">
        <v>127</v>
      </c>
      <c r="L237" s="186" t="s">
        <v>127</v>
      </c>
    </row>
    <row r="238" spans="3:10" ht="13.5">
      <c r="C238" s="184"/>
      <c r="D238" s="184"/>
      <c r="E238" s="184"/>
      <c r="F238" s="184"/>
      <c r="G238" s="184"/>
      <c r="H238" s="184"/>
      <c r="I238" s="184"/>
      <c r="J238" s="184"/>
    </row>
    <row r="239" spans="3:10" ht="13.5">
      <c r="C239" s="184" t="s">
        <v>201</v>
      </c>
      <c r="D239" s="184"/>
      <c r="E239" s="184"/>
      <c r="F239" s="184"/>
      <c r="G239" s="184"/>
      <c r="H239" s="184"/>
      <c r="I239" s="184"/>
      <c r="J239" s="184"/>
    </row>
    <row r="241" ht="12.75">
      <c r="C241" s="28" t="s">
        <v>202</v>
      </c>
    </row>
    <row r="246" spans="3:11" ht="41.25">
      <c r="C246" s="340" t="s">
        <v>122</v>
      </c>
      <c r="D246" s="340" t="s">
        <v>203</v>
      </c>
      <c r="E246" s="340"/>
      <c r="F246" s="340"/>
      <c r="G246" s="199"/>
      <c r="H246" s="199"/>
      <c r="K246" s="199" t="s">
        <v>205</v>
      </c>
    </row>
    <row r="247" spans="3:11" ht="54.75">
      <c r="C247" s="340"/>
      <c r="D247" s="340" t="s">
        <v>204</v>
      </c>
      <c r="E247" s="340"/>
      <c r="F247" s="340"/>
      <c r="G247" s="199"/>
      <c r="H247" s="199"/>
      <c r="K247" s="199" t="s">
        <v>206</v>
      </c>
    </row>
    <row r="248" spans="3:11" ht="13.5">
      <c r="C248" s="340"/>
      <c r="D248" s="200" t="s">
        <v>207</v>
      </c>
      <c r="E248" s="200"/>
      <c r="F248" s="200" t="s">
        <v>208</v>
      </c>
      <c r="G248" s="200"/>
      <c r="H248" s="200"/>
      <c r="K248" s="200" t="s">
        <v>207</v>
      </c>
    </row>
    <row r="249" spans="3:11" ht="13.5">
      <c r="C249" s="201" t="s">
        <v>195</v>
      </c>
      <c r="D249" s="201">
        <v>29000</v>
      </c>
      <c r="E249" s="218"/>
      <c r="F249" s="201"/>
      <c r="G249" s="201"/>
      <c r="H249" s="201"/>
      <c r="K249" s="201"/>
    </row>
    <row r="250" spans="3:11" ht="13.5">
      <c r="C250" s="201" t="s">
        <v>209</v>
      </c>
      <c r="D250" s="201">
        <v>30000</v>
      </c>
      <c r="E250" s="218"/>
      <c r="F250" s="201"/>
      <c r="G250" s="201"/>
      <c r="H250" s="201"/>
      <c r="K250" s="201"/>
    </row>
    <row r="251" spans="3:11" ht="27">
      <c r="C251" s="201" t="s">
        <v>210</v>
      </c>
      <c r="D251" s="201" t="s">
        <v>211</v>
      </c>
      <c r="E251" s="218"/>
      <c r="F251" s="201" t="s">
        <v>212</v>
      </c>
      <c r="G251" s="201"/>
      <c r="H251" s="201"/>
      <c r="K251" s="201"/>
    </row>
    <row r="252" spans="3:11" ht="13.5">
      <c r="C252" s="201" t="s">
        <v>213</v>
      </c>
      <c r="D252" s="201" t="s">
        <v>214</v>
      </c>
      <c r="E252" s="218"/>
      <c r="F252" s="201" t="s">
        <v>215</v>
      </c>
      <c r="G252" s="201"/>
      <c r="H252" s="201"/>
      <c r="K252" s="201"/>
    </row>
    <row r="253" spans="3:11" ht="13.5">
      <c r="C253" s="201" t="s">
        <v>95</v>
      </c>
      <c r="D253" s="201">
        <v>49510</v>
      </c>
      <c r="E253" s="218"/>
      <c r="F253" s="201">
        <v>20900</v>
      </c>
      <c r="G253" s="201"/>
      <c r="H253" s="201"/>
      <c r="K253" s="201">
        <v>45750</v>
      </c>
    </row>
    <row r="254" spans="3:11" ht="13.5">
      <c r="C254" s="201" t="s">
        <v>216</v>
      </c>
      <c r="D254" s="201">
        <v>34080</v>
      </c>
      <c r="E254" s="218"/>
      <c r="F254" s="201"/>
      <c r="G254" s="201"/>
      <c r="H254" s="201"/>
      <c r="K254" s="201"/>
    </row>
    <row r="255" spans="3:11" ht="13.5">
      <c r="C255" s="201" t="s">
        <v>217</v>
      </c>
      <c r="D255" s="201">
        <v>29600</v>
      </c>
      <c r="E255" s="218"/>
      <c r="F255" s="201">
        <v>12800</v>
      </c>
      <c r="G255" s="201"/>
      <c r="H255" s="201"/>
      <c r="K255" s="201"/>
    </row>
    <row r="256" spans="3:11" ht="27">
      <c r="C256" s="201" t="s">
        <v>218</v>
      </c>
      <c r="D256" s="201" t="s">
        <v>219</v>
      </c>
      <c r="E256" s="218"/>
      <c r="F256" s="201" t="s">
        <v>220</v>
      </c>
      <c r="G256" s="201"/>
      <c r="H256" s="201"/>
      <c r="K256" s="201"/>
    </row>
    <row r="257" spans="3:11" ht="27">
      <c r="C257" s="201" t="s">
        <v>221</v>
      </c>
      <c r="D257" s="201" t="s">
        <v>222</v>
      </c>
      <c r="E257" s="218"/>
      <c r="F257" s="201" t="s">
        <v>223</v>
      </c>
      <c r="G257" s="201"/>
      <c r="H257" s="201"/>
      <c r="K257" s="201"/>
    </row>
    <row r="258" spans="3:11" ht="13.5">
      <c r="C258" s="201" t="s">
        <v>224</v>
      </c>
      <c r="D258" s="201">
        <v>44800</v>
      </c>
      <c r="E258" s="218"/>
      <c r="F258" s="201">
        <v>19300</v>
      </c>
      <c r="G258" s="201"/>
      <c r="H258" s="201"/>
      <c r="K258" s="201">
        <v>43400</v>
      </c>
    </row>
    <row r="259" spans="3:11" ht="13.5">
      <c r="C259" s="201" t="s">
        <v>51</v>
      </c>
      <c r="D259" s="201">
        <v>51900</v>
      </c>
      <c r="E259" s="218"/>
      <c r="F259" s="201"/>
      <c r="G259" s="201"/>
      <c r="H259" s="201"/>
      <c r="K259" s="201">
        <v>47800</v>
      </c>
    </row>
    <row r="260" spans="3:11" ht="13.5">
      <c r="C260" s="201" t="s">
        <v>178</v>
      </c>
      <c r="D260" s="201">
        <v>29700</v>
      </c>
      <c r="E260" s="218"/>
      <c r="F260" s="201">
        <v>12800</v>
      </c>
      <c r="G260" s="201"/>
      <c r="H260" s="201"/>
      <c r="K260" s="201"/>
    </row>
    <row r="261" spans="3:11" ht="13.5">
      <c r="C261" s="201" t="s">
        <v>225</v>
      </c>
      <c r="D261" s="201">
        <v>43000</v>
      </c>
      <c r="E261" s="218"/>
      <c r="F261" s="201"/>
      <c r="G261" s="201"/>
      <c r="H261" s="201"/>
      <c r="K261" s="201"/>
    </row>
    <row r="262" spans="3:11" ht="13.5">
      <c r="C262" s="201" t="s">
        <v>226</v>
      </c>
      <c r="D262" s="201">
        <v>47300</v>
      </c>
      <c r="E262" s="218"/>
      <c r="F262" s="201">
        <v>20400</v>
      </c>
      <c r="G262" s="201"/>
      <c r="H262" s="201"/>
      <c r="K262" s="201">
        <v>44400</v>
      </c>
    </row>
    <row r="263" spans="3:11" ht="13.5">
      <c r="C263" s="201" t="s">
        <v>227</v>
      </c>
      <c r="D263" s="201">
        <v>19000</v>
      </c>
      <c r="E263" s="218"/>
      <c r="F263" s="201"/>
      <c r="G263" s="201"/>
      <c r="H263" s="201"/>
      <c r="K263" s="201"/>
    </row>
    <row r="264" spans="3:11" ht="13.5">
      <c r="C264" s="201" t="s">
        <v>68</v>
      </c>
      <c r="D264" s="201">
        <v>141790</v>
      </c>
      <c r="E264" s="218"/>
      <c r="F264" s="201">
        <v>61000</v>
      </c>
      <c r="G264" s="201"/>
      <c r="H264" s="201"/>
      <c r="K264" s="201">
        <v>121000</v>
      </c>
    </row>
    <row r="265" spans="3:11" ht="13.5">
      <c r="C265" s="201" t="s">
        <v>228</v>
      </c>
      <c r="D265" s="201">
        <v>46200</v>
      </c>
      <c r="E265" s="218"/>
      <c r="F265" s="201"/>
      <c r="G265" s="201"/>
      <c r="H265" s="201"/>
      <c r="K265" s="201">
        <v>43000</v>
      </c>
    </row>
    <row r="266" spans="3:11" ht="13.5">
      <c r="C266" s="201" t="s">
        <v>229</v>
      </c>
      <c r="D266" s="201">
        <v>16300</v>
      </c>
      <c r="E266" s="218"/>
      <c r="F266" s="201">
        <v>7000</v>
      </c>
      <c r="G266" s="201"/>
      <c r="H266" s="201"/>
      <c r="K266" s="201"/>
    </row>
    <row r="267" spans="3:11" ht="13.5">
      <c r="C267" s="201" t="s">
        <v>50</v>
      </c>
      <c r="D267" s="201">
        <v>55530</v>
      </c>
      <c r="E267" s="218"/>
      <c r="F267" s="201"/>
      <c r="G267" s="201"/>
      <c r="H267" s="201"/>
      <c r="K267" s="201">
        <v>50000</v>
      </c>
    </row>
    <row r="268" spans="3:11" ht="13.5">
      <c r="C268" s="201" t="s">
        <v>177</v>
      </c>
      <c r="D268" s="201">
        <v>23000</v>
      </c>
      <c r="E268" s="218"/>
      <c r="F268" s="201"/>
      <c r="G268" s="201"/>
      <c r="H268" s="201"/>
      <c r="K268" s="201"/>
    </row>
    <row r="269" spans="3:11" ht="13.5">
      <c r="C269" s="201" t="s">
        <v>230</v>
      </c>
      <c r="D269" s="201">
        <v>43000</v>
      </c>
      <c r="E269" s="218"/>
      <c r="F269" s="201"/>
      <c r="G269" s="201"/>
      <c r="H269" s="201"/>
      <c r="K269" s="201"/>
    </row>
    <row r="270" spans="3:11" ht="27">
      <c r="C270" s="201" t="s">
        <v>231</v>
      </c>
      <c r="D270" s="201">
        <v>48000</v>
      </c>
      <c r="E270" s="218"/>
      <c r="F270" s="201"/>
      <c r="G270" s="201"/>
      <c r="H270" s="201"/>
      <c r="K270" s="201"/>
    </row>
    <row r="271" spans="3:11" ht="13.5">
      <c r="C271" s="201" t="s">
        <v>232</v>
      </c>
      <c r="D271" s="201">
        <v>44000</v>
      </c>
      <c r="E271" s="218"/>
      <c r="F271" s="201"/>
      <c r="G271" s="201"/>
      <c r="H271" s="201"/>
      <c r="K271" s="201"/>
    </row>
    <row r="272" spans="3:11" ht="13.5">
      <c r="C272" s="201" t="s">
        <v>233</v>
      </c>
      <c r="D272" s="201" t="s">
        <v>234</v>
      </c>
      <c r="E272" s="218"/>
      <c r="F272" s="201"/>
      <c r="G272" s="201"/>
      <c r="H272" s="201"/>
      <c r="K272" s="201"/>
    </row>
    <row r="273" spans="3:11" ht="13.5">
      <c r="C273" s="201" t="s">
        <v>235</v>
      </c>
      <c r="D273" s="201">
        <v>46000</v>
      </c>
      <c r="E273" s="218"/>
      <c r="F273" s="201"/>
      <c r="G273" s="201"/>
      <c r="H273" s="201"/>
      <c r="K273" s="201">
        <v>41500</v>
      </c>
    </row>
    <row r="274" spans="3:11" ht="13.5">
      <c r="C274" s="201" t="s">
        <v>236</v>
      </c>
      <c r="D274" s="201" t="s">
        <v>237</v>
      </c>
      <c r="E274" s="218"/>
      <c r="F274" s="201" t="s">
        <v>238</v>
      </c>
      <c r="G274" s="201"/>
      <c r="H274" s="201"/>
      <c r="K274" s="201"/>
    </row>
    <row r="275" spans="3:11" ht="13.5">
      <c r="C275" s="201" t="s">
        <v>76</v>
      </c>
      <c r="D275" s="201"/>
      <c r="E275" s="218"/>
      <c r="F275" s="201"/>
      <c r="G275" s="201"/>
      <c r="H275" s="201"/>
      <c r="K275" s="201">
        <v>45350</v>
      </c>
    </row>
    <row r="276" spans="3:11" ht="13.5">
      <c r="C276" s="201" t="s">
        <v>239</v>
      </c>
      <c r="D276" s="201">
        <v>48000</v>
      </c>
      <c r="E276" s="218"/>
      <c r="F276" s="201"/>
      <c r="G276" s="201"/>
      <c r="H276" s="201"/>
      <c r="K276" s="201"/>
    </row>
    <row r="277" spans="3:11" ht="13.5">
      <c r="C277" s="201" t="s">
        <v>240</v>
      </c>
      <c r="D277" s="201">
        <v>43000</v>
      </c>
      <c r="E277" s="218"/>
      <c r="F277" s="201"/>
      <c r="G277" s="201"/>
      <c r="H277" s="201"/>
      <c r="K277" s="201"/>
    </row>
    <row r="278" spans="3:11" ht="13.5">
      <c r="C278" s="201" t="s">
        <v>52</v>
      </c>
      <c r="D278" s="201">
        <v>50350</v>
      </c>
      <c r="E278" s="218"/>
      <c r="F278" s="201"/>
      <c r="G278" s="201"/>
      <c r="H278" s="201"/>
      <c r="K278" s="201">
        <v>46350</v>
      </c>
    </row>
    <row r="279" spans="3:11" ht="27">
      <c r="C279" s="201" t="s">
        <v>241</v>
      </c>
      <c r="D279" s="201" t="s">
        <v>242</v>
      </c>
      <c r="E279" s="218"/>
      <c r="F279" s="201" t="s">
        <v>243</v>
      </c>
      <c r="G279" s="201"/>
      <c r="H279" s="201"/>
      <c r="K279" s="201"/>
    </row>
    <row r="280" spans="3:17" ht="13.5">
      <c r="C280" s="305" t="s">
        <v>77</v>
      </c>
      <c r="D280" s="305">
        <v>9200</v>
      </c>
      <c r="E280" s="305"/>
      <c r="F280" s="305"/>
      <c r="G280" s="305"/>
      <c r="H280" s="305"/>
      <c r="K280" s="305"/>
      <c r="M280" s="3" t="s">
        <v>256</v>
      </c>
      <c r="O280" s="202" t="s">
        <v>25</v>
      </c>
      <c r="P280" s="202">
        <f>D280/1000</f>
        <v>9.2</v>
      </c>
      <c r="Q280" s="3" t="s">
        <v>39</v>
      </c>
    </row>
    <row r="281" spans="3:11" ht="13.5">
      <c r="C281" s="201" t="s">
        <v>244</v>
      </c>
      <c r="D281" s="201">
        <v>36000</v>
      </c>
      <c r="E281" s="218"/>
      <c r="F281" s="201"/>
      <c r="G281" s="201"/>
      <c r="H281" s="201"/>
      <c r="K281" s="201"/>
    </row>
    <row r="282" spans="3:11" ht="13.5">
      <c r="C282" s="201" t="s">
        <v>245</v>
      </c>
      <c r="D282" s="201">
        <v>44000</v>
      </c>
      <c r="E282" s="218"/>
      <c r="F282" s="201"/>
      <c r="G282" s="201"/>
      <c r="H282" s="201"/>
      <c r="K282" s="201"/>
    </row>
    <row r="283" spans="3:11" ht="13.5">
      <c r="C283" s="201" t="s">
        <v>246</v>
      </c>
      <c r="D283" s="201" t="s">
        <v>247</v>
      </c>
      <c r="E283" s="218"/>
      <c r="F283" s="201" t="s">
        <v>248</v>
      </c>
      <c r="G283" s="201"/>
      <c r="H283" s="201"/>
      <c r="K283" s="201"/>
    </row>
    <row r="284" spans="3:11" ht="15.75">
      <c r="C284" s="201"/>
      <c r="D284" s="203" t="s">
        <v>436</v>
      </c>
      <c r="E284" s="203"/>
      <c r="F284" s="203" t="s">
        <v>437</v>
      </c>
      <c r="G284" s="203"/>
      <c r="H284" s="203"/>
      <c r="K284" s="203"/>
    </row>
    <row r="285" spans="3:11" ht="13.5">
      <c r="C285" s="201" t="s">
        <v>162</v>
      </c>
      <c r="D285" s="201">
        <v>56000</v>
      </c>
      <c r="E285" s="218"/>
      <c r="F285" s="201"/>
      <c r="G285" s="201"/>
      <c r="H285" s="201"/>
      <c r="K285" s="201"/>
    </row>
    <row r="286" spans="3:11" ht="15.75">
      <c r="C286" s="201" t="s">
        <v>438</v>
      </c>
      <c r="D286" s="201">
        <v>133000</v>
      </c>
      <c r="E286" s="218"/>
      <c r="F286" s="201">
        <v>3200</v>
      </c>
      <c r="G286" s="201"/>
      <c r="H286" s="201"/>
      <c r="K286" s="201"/>
    </row>
    <row r="287" spans="3:11" ht="13.5">
      <c r="C287" s="201" t="s">
        <v>68</v>
      </c>
      <c r="D287" s="201">
        <v>13000</v>
      </c>
      <c r="E287" s="218"/>
      <c r="F287" s="201"/>
      <c r="G287" s="201"/>
      <c r="H287" s="201"/>
      <c r="K287" s="201"/>
    </row>
    <row r="288" spans="3:11" ht="13.5">
      <c r="C288" s="201" t="s">
        <v>249</v>
      </c>
      <c r="D288" s="201">
        <v>43000</v>
      </c>
      <c r="E288" s="218"/>
      <c r="F288" s="201" t="s">
        <v>250</v>
      </c>
      <c r="G288" s="201"/>
      <c r="H288" s="201"/>
      <c r="K288" s="201"/>
    </row>
    <row r="289" spans="3:11" ht="15.75">
      <c r="C289" s="201" t="s">
        <v>439</v>
      </c>
      <c r="D289" s="201">
        <v>39820</v>
      </c>
      <c r="E289" s="218"/>
      <c r="F289" s="201"/>
      <c r="G289" s="201"/>
      <c r="H289" s="201"/>
      <c r="K289" s="201"/>
    </row>
    <row r="290" spans="3:11" ht="15.75">
      <c r="C290" s="201" t="s">
        <v>440</v>
      </c>
      <c r="D290" s="201">
        <v>101000</v>
      </c>
      <c r="E290" s="218"/>
      <c r="F290" s="201">
        <v>2550</v>
      </c>
      <c r="G290" s="201"/>
      <c r="H290" s="201"/>
      <c r="K290" s="201"/>
    </row>
    <row r="291" spans="3:11" ht="13.5">
      <c r="C291" s="201" t="s">
        <v>251</v>
      </c>
      <c r="D291" s="201">
        <v>18000</v>
      </c>
      <c r="E291" s="218"/>
      <c r="F291" s="201"/>
      <c r="G291" s="201"/>
      <c r="H291" s="201"/>
      <c r="K291" s="201"/>
    </row>
    <row r="292" spans="3:11" ht="13.5">
      <c r="C292" s="201"/>
      <c r="D292" s="203" t="s">
        <v>252</v>
      </c>
      <c r="E292" s="203"/>
      <c r="F292" s="203" t="s">
        <v>253</v>
      </c>
      <c r="G292" s="203"/>
      <c r="H292" s="203"/>
      <c r="K292" s="203"/>
    </row>
    <row r="293" spans="3:11" ht="13.5">
      <c r="C293" s="201" t="s">
        <v>254</v>
      </c>
      <c r="D293" s="201">
        <v>38000</v>
      </c>
      <c r="E293" s="218"/>
      <c r="F293" s="201">
        <v>164000</v>
      </c>
      <c r="G293" s="201"/>
      <c r="H293" s="201"/>
      <c r="K293" s="201"/>
    </row>
    <row r="294" spans="3:11" ht="13.5">
      <c r="C294" s="201" t="s">
        <v>255</v>
      </c>
      <c r="D294" s="201">
        <v>41200</v>
      </c>
      <c r="E294" s="218"/>
      <c r="F294" s="201">
        <v>177000</v>
      </c>
      <c r="G294" s="201"/>
      <c r="H294" s="201"/>
      <c r="K294" s="201"/>
    </row>
    <row r="295" spans="3:11" ht="13.5">
      <c r="C295" s="201" t="s">
        <v>228</v>
      </c>
      <c r="D295" s="201">
        <v>35000</v>
      </c>
      <c r="E295" s="218"/>
      <c r="F295" s="201">
        <v>154000</v>
      </c>
      <c r="G295" s="201"/>
      <c r="H295" s="201"/>
      <c r="K295" s="201"/>
    </row>
    <row r="298" ht="12.75">
      <c r="C298" s="3" t="s">
        <v>257</v>
      </c>
    </row>
    <row r="304" spans="3:12" ht="52.5" customHeight="1">
      <c r="C304" s="340" t="s">
        <v>34</v>
      </c>
      <c r="D304" s="334" t="s">
        <v>258</v>
      </c>
      <c r="E304" s="334"/>
      <c r="F304" s="334"/>
      <c r="G304" s="204"/>
      <c r="H304" s="204"/>
      <c r="K304" s="334" t="s">
        <v>259</v>
      </c>
      <c r="L304" s="334"/>
    </row>
    <row r="305" spans="3:12" ht="15.75">
      <c r="C305" s="340"/>
      <c r="D305" s="199" t="s">
        <v>441</v>
      </c>
      <c r="E305" s="199"/>
      <c r="F305" s="199" t="s">
        <v>442</v>
      </c>
      <c r="G305" s="199"/>
      <c r="H305" s="199"/>
      <c r="K305" s="199" t="s">
        <v>441</v>
      </c>
      <c r="L305" s="199" t="s">
        <v>442</v>
      </c>
    </row>
    <row r="306" spans="3:12" ht="30">
      <c r="C306" s="201" t="s">
        <v>443</v>
      </c>
      <c r="D306" s="205">
        <v>1498</v>
      </c>
      <c r="E306" s="205"/>
      <c r="F306" s="205">
        <v>21569</v>
      </c>
      <c r="G306" s="205"/>
      <c r="H306" s="205"/>
      <c r="K306" s="205">
        <v>1447</v>
      </c>
      <c r="L306" s="205">
        <v>20837</v>
      </c>
    </row>
    <row r="307" spans="3:12" ht="13.5">
      <c r="C307" s="201" t="s">
        <v>167</v>
      </c>
      <c r="D307" s="205">
        <v>3741</v>
      </c>
      <c r="E307" s="205"/>
      <c r="F307" s="205">
        <v>18150</v>
      </c>
      <c r="G307" s="205"/>
      <c r="H307" s="205"/>
      <c r="K307" s="205">
        <v>3590</v>
      </c>
      <c r="L307" s="205">
        <v>17418</v>
      </c>
    </row>
    <row r="308" spans="3:12" ht="27">
      <c r="C308" s="201" t="s">
        <v>260</v>
      </c>
      <c r="D308" s="201">
        <v>92</v>
      </c>
      <c r="E308" s="218"/>
      <c r="F308" s="205">
        <v>1178</v>
      </c>
      <c r="G308" s="205"/>
      <c r="H308" s="205"/>
      <c r="K308" s="201">
        <v>92</v>
      </c>
      <c r="L308" s="205">
        <v>1178</v>
      </c>
    </row>
    <row r="309" spans="3:12" ht="13.5">
      <c r="C309" s="201" t="s">
        <v>261</v>
      </c>
      <c r="D309" s="201"/>
      <c r="E309" s="218"/>
      <c r="F309" s="205">
        <v>6550</v>
      </c>
      <c r="G309" s="205"/>
      <c r="H309" s="205"/>
      <c r="K309" s="201"/>
      <c r="L309" s="201"/>
    </row>
    <row r="310" spans="3:12" ht="15.75">
      <c r="C310" s="201" t="s">
        <v>444</v>
      </c>
      <c r="D310" s="205">
        <v>3225</v>
      </c>
      <c r="E310" s="205"/>
      <c r="F310" s="205">
        <v>21640</v>
      </c>
      <c r="G310" s="205"/>
      <c r="H310" s="205"/>
      <c r="K310" s="205">
        <v>2977</v>
      </c>
      <c r="L310" s="205">
        <v>19976</v>
      </c>
    </row>
    <row r="311" spans="3:12" ht="27">
      <c r="C311" s="201" t="s">
        <v>262</v>
      </c>
      <c r="D311" s="205">
        <v>3077</v>
      </c>
      <c r="E311" s="205"/>
      <c r="F311" s="205">
        <v>20780</v>
      </c>
      <c r="G311" s="205"/>
      <c r="H311" s="205"/>
      <c r="K311" s="205">
        <v>2876</v>
      </c>
      <c r="L311" s="205">
        <v>19420</v>
      </c>
    </row>
    <row r="312" spans="3:12" ht="15.75">
      <c r="C312" s="201" t="s">
        <v>445</v>
      </c>
      <c r="D312" s="201"/>
      <c r="E312" s="218"/>
      <c r="F312" s="205">
        <v>14150</v>
      </c>
      <c r="G312" s="205"/>
      <c r="H312" s="205"/>
      <c r="K312" s="201"/>
      <c r="L312" s="205">
        <v>14150</v>
      </c>
    </row>
    <row r="313" spans="3:12" ht="13.5">
      <c r="C313" s="201" t="s">
        <v>263</v>
      </c>
      <c r="D313" s="201"/>
      <c r="E313" s="218"/>
      <c r="F313" s="205">
        <v>3960</v>
      </c>
      <c r="G313" s="205"/>
      <c r="H313" s="205"/>
      <c r="K313" s="201"/>
      <c r="L313" s="205">
        <v>3960</v>
      </c>
    </row>
    <row r="314" spans="3:12" ht="27">
      <c r="C314" s="201" t="s">
        <v>264</v>
      </c>
      <c r="D314" s="201">
        <v>323</v>
      </c>
      <c r="E314" s="218"/>
      <c r="F314" s="205">
        <v>4368</v>
      </c>
      <c r="G314" s="205"/>
      <c r="H314" s="205"/>
      <c r="K314" s="201">
        <v>323</v>
      </c>
      <c r="L314" s="205">
        <v>4368</v>
      </c>
    </row>
    <row r="315" spans="3:12" ht="27">
      <c r="C315" s="201" t="s">
        <v>265</v>
      </c>
      <c r="D315" s="201">
        <v>550</v>
      </c>
      <c r="E315" s="218"/>
      <c r="F315" s="205">
        <v>11440</v>
      </c>
      <c r="G315" s="205"/>
      <c r="H315" s="205"/>
      <c r="K315" s="201">
        <v>508</v>
      </c>
      <c r="L315" s="205">
        <v>10566</v>
      </c>
    </row>
    <row r="316" spans="3:12" ht="13.5">
      <c r="C316" s="201" t="s">
        <v>117</v>
      </c>
      <c r="D316" s="201">
        <v>149</v>
      </c>
      <c r="E316" s="218"/>
      <c r="F316" s="205">
        <v>16500</v>
      </c>
      <c r="G316" s="205"/>
      <c r="H316" s="205"/>
      <c r="K316" s="201"/>
      <c r="L316" s="201"/>
    </row>
    <row r="317" spans="3:12" ht="13.5">
      <c r="C317" s="201" t="s">
        <v>266</v>
      </c>
      <c r="D317" s="201">
        <v>574</v>
      </c>
      <c r="E317" s="218"/>
      <c r="F317" s="205">
        <v>17048</v>
      </c>
      <c r="G317" s="205"/>
      <c r="H317" s="205"/>
      <c r="K317" s="201">
        <v>514</v>
      </c>
      <c r="L317" s="205">
        <v>15266</v>
      </c>
    </row>
    <row r="318" spans="3:12" ht="41.25">
      <c r="C318" s="201" t="s">
        <v>267</v>
      </c>
      <c r="D318" s="201">
        <v>690</v>
      </c>
      <c r="E318" s="218"/>
      <c r="F318" s="205">
        <v>11316</v>
      </c>
      <c r="G318" s="205"/>
      <c r="H318" s="205"/>
      <c r="K318" s="201">
        <v>621</v>
      </c>
      <c r="L318" s="205">
        <v>10184</v>
      </c>
    </row>
    <row r="319" spans="3:12" ht="15.75">
      <c r="C319" s="201" t="s">
        <v>446</v>
      </c>
      <c r="D319" s="205">
        <v>1783</v>
      </c>
      <c r="E319" s="205"/>
      <c r="F319" s="205">
        <v>22198</v>
      </c>
      <c r="G319" s="205"/>
      <c r="H319" s="205"/>
      <c r="K319" s="205">
        <v>1630</v>
      </c>
      <c r="L319" s="205">
        <v>20295</v>
      </c>
    </row>
    <row r="320" spans="3:12" ht="41.25">
      <c r="C320" s="201" t="s">
        <v>268</v>
      </c>
      <c r="D320" s="205">
        <v>1548</v>
      </c>
      <c r="E320" s="205"/>
      <c r="F320" s="205">
        <v>12804</v>
      </c>
      <c r="G320" s="205"/>
      <c r="H320" s="205"/>
      <c r="K320" s="201"/>
      <c r="L320" s="201"/>
    </row>
    <row r="321" spans="3:17" ht="13.5">
      <c r="C321" s="201" t="s">
        <v>101</v>
      </c>
      <c r="D321" s="205">
        <v>1631</v>
      </c>
      <c r="E321" s="205"/>
      <c r="F321" s="205">
        <v>21884</v>
      </c>
      <c r="G321" s="205"/>
      <c r="H321" s="205"/>
      <c r="K321" s="205">
        <v>1530</v>
      </c>
      <c r="L321" s="205">
        <v>20525</v>
      </c>
      <c r="N321" s="3">
        <v>1</v>
      </c>
      <c r="O321" s="202" t="s">
        <v>282</v>
      </c>
      <c r="P321" s="3">
        <v>0.002326</v>
      </c>
      <c r="Q321" s="3" t="s">
        <v>39</v>
      </c>
    </row>
    <row r="322" spans="3:12" ht="13.5">
      <c r="C322" s="201" t="s">
        <v>128</v>
      </c>
      <c r="D322" s="205">
        <v>4667</v>
      </c>
      <c r="E322" s="205"/>
      <c r="F322" s="205">
        <v>20526</v>
      </c>
      <c r="G322" s="205"/>
      <c r="H322" s="205"/>
      <c r="K322" s="205">
        <v>4315</v>
      </c>
      <c r="L322" s="205">
        <v>18976</v>
      </c>
    </row>
    <row r="323" spans="3:12" ht="16.5" thickBot="1">
      <c r="C323" s="201" t="s">
        <v>447</v>
      </c>
      <c r="D323" s="201">
        <v>325</v>
      </c>
      <c r="E323" s="218"/>
      <c r="F323" s="205">
        <v>61084</v>
      </c>
      <c r="G323" s="205"/>
      <c r="H323" s="205"/>
      <c r="K323" s="201">
        <v>275</v>
      </c>
      <c r="L323" s="205">
        <v>51628</v>
      </c>
    </row>
    <row r="324" spans="1:17" ht="27.75" thickTop="1">
      <c r="A324" s="206"/>
      <c r="B324" s="207"/>
      <c r="C324" s="208" t="s">
        <v>269</v>
      </c>
      <c r="D324" s="208">
        <v>672</v>
      </c>
      <c r="E324" s="208"/>
      <c r="F324" s="209">
        <v>7479</v>
      </c>
      <c r="G324" s="209"/>
      <c r="H324" s="209"/>
      <c r="I324" s="207"/>
      <c r="J324" s="207"/>
      <c r="K324" s="208"/>
      <c r="L324" s="208"/>
      <c r="M324" s="210"/>
      <c r="N324" s="33" t="s">
        <v>280</v>
      </c>
      <c r="O324" s="34">
        <f>F324</f>
        <v>7479</v>
      </c>
      <c r="P324" s="35" t="s">
        <v>281</v>
      </c>
      <c r="Q324" s="211"/>
    </row>
    <row r="325" spans="1:17" ht="14.25" thickBot="1">
      <c r="A325" s="212"/>
      <c r="B325" s="213"/>
      <c r="C325" s="214"/>
      <c r="D325" s="214"/>
      <c r="E325" s="214"/>
      <c r="F325" s="215"/>
      <c r="G325" s="215"/>
      <c r="H325" s="215"/>
      <c r="I325" s="213"/>
      <c r="J325" s="213"/>
      <c r="K325" s="214"/>
      <c r="L325" s="214"/>
      <c r="M325" s="213"/>
      <c r="N325" s="36"/>
      <c r="O325" s="216">
        <f>O324*P321</f>
        <v>17.396154</v>
      </c>
      <c r="P325" s="213" t="s">
        <v>39</v>
      </c>
      <c r="Q325" s="217"/>
    </row>
    <row r="326" spans="3:12" ht="14.25" thickTop="1">
      <c r="C326" s="201" t="s">
        <v>270</v>
      </c>
      <c r="D326" s="201">
        <v>476</v>
      </c>
      <c r="E326" s="218"/>
      <c r="F326" s="201"/>
      <c r="G326" s="201"/>
      <c r="H326" s="201"/>
      <c r="K326" s="201"/>
      <c r="L326" s="201"/>
    </row>
    <row r="327" spans="3:12" ht="15.75">
      <c r="C327" s="201" t="s">
        <v>448</v>
      </c>
      <c r="D327" s="205">
        <v>1011</v>
      </c>
      <c r="E327" s="205"/>
      <c r="F327" s="205">
        <v>23811</v>
      </c>
      <c r="G327" s="205"/>
      <c r="H327" s="205"/>
      <c r="K327" s="201">
        <v>910</v>
      </c>
      <c r="L327" s="205">
        <v>21433</v>
      </c>
    </row>
    <row r="328" spans="3:12" ht="41.25">
      <c r="C328" s="201" t="s">
        <v>271</v>
      </c>
      <c r="D328" s="201">
        <v>818</v>
      </c>
      <c r="E328" s="218"/>
      <c r="F328" s="205">
        <v>9603</v>
      </c>
      <c r="G328" s="205"/>
      <c r="H328" s="205"/>
      <c r="K328" s="201"/>
      <c r="L328" s="201"/>
    </row>
    <row r="329" spans="3:12" ht="13.5">
      <c r="C329" s="201" t="s">
        <v>272</v>
      </c>
      <c r="D329" s="205">
        <v>5859</v>
      </c>
      <c r="E329" s="205"/>
      <c r="F329" s="205">
        <v>17298</v>
      </c>
      <c r="G329" s="205"/>
      <c r="H329" s="205"/>
      <c r="K329" s="201"/>
      <c r="L329" s="201"/>
    </row>
    <row r="330" spans="3:12" ht="13.5">
      <c r="C330" s="339" t="s">
        <v>273</v>
      </c>
      <c r="D330" s="201">
        <v>950</v>
      </c>
      <c r="E330" s="218"/>
      <c r="F330" s="205">
        <v>19500</v>
      </c>
      <c r="G330" s="205"/>
      <c r="H330" s="205"/>
      <c r="K330" s="201">
        <v>850</v>
      </c>
      <c r="L330" s="205">
        <v>17500</v>
      </c>
    </row>
    <row r="331" spans="3:12" ht="13.5">
      <c r="C331" s="339"/>
      <c r="D331" s="201" t="s">
        <v>7</v>
      </c>
      <c r="E331" s="218"/>
      <c r="F331" s="201" t="s">
        <v>7</v>
      </c>
      <c r="G331" s="201"/>
      <c r="H331" s="201"/>
      <c r="K331" s="201" t="s">
        <v>7</v>
      </c>
      <c r="L331" s="201" t="s">
        <v>7</v>
      </c>
    </row>
    <row r="332" spans="3:12" ht="13.5">
      <c r="C332" s="339"/>
      <c r="D332" s="205">
        <v>1150</v>
      </c>
      <c r="E332" s="205"/>
      <c r="F332" s="205">
        <v>22500</v>
      </c>
      <c r="G332" s="205"/>
      <c r="H332" s="205"/>
      <c r="K332" s="205">
        <v>1050</v>
      </c>
      <c r="L332" s="205">
        <v>22000</v>
      </c>
    </row>
    <row r="333" spans="3:12" ht="41.25">
      <c r="C333" s="201" t="s">
        <v>274</v>
      </c>
      <c r="D333" s="205">
        <v>6239</v>
      </c>
      <c r="E333" s="205"/>
      <c r="F333" s="205">
        <v>20542</v>
      </c>
      <c r="G333" s="205"/>
      <c r="H333" s="205"/>
      <c r="K333" s="205">
        <v>3170</v>
      </c>
      <c r="L333" s="205">
        <v>10444</v>
      </c>
    </row>
    <row r="334" spans="3:12" ht="13.5">
      <c r="C334" s="201" t="s">
        <v>76</v>
      </c>
      <c r="D334" s="205">
        <v>3981</v>
      </c>
      <c r="E334" s="205"/>
      <c r="F334" s="205">
        <v>20908</v>
      </c>
      <c r="G334" s="205"/>
      <c r="H334" s="205"/>
      <c r="K334" s="205">
        <v>3679</v>
      </c>
      <c r="L334" s="205">
        <v>19322</v>
      </c>
    </row>
    <row r="335" spans="3:12" ht="13.5">
      <c r="C335" s="201" t="s">
        <v>275</v>
      </c>
      <c r="D335" s="201"/>
      <c r="E335" s="218"/>
      <c r="F335" s="205">
        <v>2470</v>
      </c>
      <c r="G335" s="205"/>
      <c r="H335" s="205"/>
      <c r="K335" s="201"/>
      <c r="L335" s="201"/>
    </row>
    <row r="336" spans="3:12" ht="15.75">
      <c r="C336" s="201" t="s">
        <v>449</v>
      </c>
      <c r="D336" s="205">
        <v>2572</v>
      </c>
      <c r="E336" s="205"/>
      <c r="F336" s="205">
        <v>21564</v>
      </c>
      <c r="G336" s="205"/>
      <c r="H336" s="205"/>
      <c r="K336" s="205">
        <v>2371</v>
      </c>
      <c r="L336" s="205">
        <v>19834</v>
      </c>
    </row>
    <row r="337" spans="3:12" ht="43.5">
      <c r="C337" s="201" t="s">
        <v>450</v>
      </c>
      <c r="D337" s="205">
        <v>2332</v>
      </c>
      <c r="E337" s="205"/>
      <c r="F337" s="205">
        <v>20990</v>
      </c>
      <c r="G337" s="205"/>
      <c r="H337" s="205"/>
      <c r="K337" s="205">
        <v>2181</v>
      </c>
      <c r="L337" s="205">
        <v>19630</v>
      </c>
    </row>
    <row r="338" spans="3:12" ht="13.5">
      <c r="C338" s="201" t="s">
        <v>147</v>
      </c>
      <c r="D338" s="205">
        <v>2336</v>
      </c>
      <c r="E338" s="205"/>
      <c r="F338" s="205">
        <v>21042</v>
      </c>
      <c r="G338" s="205"/>
      <c r="H338" s="205"/>
      <c r="K338" s="205">
        <v>2185</v>
      </c>
      <c r="L338" s="205">
        <v>19683</v>
      </c>
    </row>
    <row r="339" spans="3:12" ht="13.5">
      <c r="C339" s="201" t="s">
        <v>276</v>
      </c>
      <c r="D339" s="201">
        <v>500</v>
      </c>
      <c r="E339" s="218"/>
      <c r="F339" s="205">
        <v>14550</v>
      </c>
      <c r="G339" s="205"/>
      <c r="H339" s="205"/>
      <c r="K339" s="201">
        <v>443</v>
      </c>
      <c r="L339" s="205">
        <v>13016</v>
      </c>
    </row>
    <row r="340" spans="3:12" ht="13.5">
      <c r="C340" s="201" t="s">
        <v>277</v>
      </c>
      <c r="D340" s="201"/>
      <c r="E340" s="218"/>
      <c r="F340" s="205">
        <v>3940</v>
      </c>
      <c r="G340" s="205"/>
      <c r="H340" s="205"/>
      <c r="K340" s="201"/>
      <c r="L340" s="201"/>
    </row>
    <row r="341" spans="3:12" ht="13.5">
      <c r="C341" s="201" t="s">
        <v>168</v>
      </c>
      <c r="D341" s="205">
        <v>4408</v>
      </c>
      <c r="E341" s="205"/>
      <c r="F341" s="205">
        <v>18129</v>
      </c>
      <c r="G341" s="205"/>
      <c r="H341" s="205"/>
      <c r="K341" s="205">
        <v>4206</v>
      </c>
      <c r="L341" s="205">
        <v>17301</v>
      </c>
    </row>
    <row r="342" spans="3:12" ht="27">
      <c r="C342" s="201" t="s">
        <v>278</v>
      </c>
      <c r="D342" s="201">
        <v>261</v>
      </c>
      <c r="E342" s="218"/>
      <c r="F342" s="205">
        <v>4881</v>
      </c>
      <c r="G342" s="205"/>
      <c r="H342" s="205"/>
      <c r="K342" s="201">
        <v>239</v>
      </c>
      <c r="L342" s="205">
        <v>4469</v>
      </c>
    </row>
    <row r="343" spans="3:12" ht="13.5">
      <c r="C343" s="201" t="s">
        <v>279</v>
      </c>
      <c r="D343" s="205">
        <v>5155</v>
      </c>
      <c r="E343" s="205"/>
      <c r="F343" s="205">
        <v>18410</v>
      </c>
      <c r="G343" s="205"/>
      <c r="H343" s="205"/>
      <c r="K343" s="201"/>
      <c r="L343" s="201"/>
    </row>
  </sheetData>
  <sheetProtection/>
  <mergeCells count="24">
    <mergeCell ref="C330:C332"/>
    <mergeCell ref="C226:J226"/>
    <mergeCell ref="C232:J232"/>
    <mergeCell ref="C246:C248"/>
    <mergeCell ref="D246:F246"/>
    <mergeCell ref="D247:F247"/>
    <mergeCell ref="C304:C305"/>
    <mergeCell ref="D304:F304"/>
    <mergeCell ref="C191:J191"/>
    <mergeCell ref="B91:H91"/>
    <mergeCell ref="K304:L304"/>
    <mergeCell ref="C194:J194"/>
    <mergeCell ref="C197:J197"/>
    <mergeCell ref="C202:J202"/>
    <mergeCell ref="C212:J212"/>
    <mergeCell ref="C221:J221"/>
    <mergeCell ref="B92:B93"/>
    <mergeCell ref="C92:C93"/>
    <mergeCell ref="D92:D93"/>
    <mergeCell ref="E92:E93"/>
    <mergeCell ref="C156:J156"/>
    <mergeCell ref="C169:J169"/>
    <mergeCell ref="C176:J176"/>
    <mergeCell ref="C181:J181"/>
  </mergeCells>
  <hyperlinks>
    <hyperlink ref="B112" r:id="rId1" display="http://www.thermofluids.net/"/>
    <hyperlink ref="D304" r:id="rId2" tooltip="gross heating value" display="http://www.engineeringtoolbox.com/gross-net-heating-value-d_824.html"/>
    <hyperlink ref="K304" r:id="rId3" tooltip="net heating value" display="http://www.engineeringtoolbox.com/gross-net-heating-value-d_824.html"/>
    <hyperlink ref="C241" r:id="rId4" display="http://www.thermalfluidscentral.org/encyclopedia/index.php/Heat_of_Combustion"/>
    <hyperlink ref="I39" r:id="rId5" tooltip="Megajoule" display="https://en.wikipedia.org/wiki/Megajoule"/>
    <hyperlink ref="H41" r:id="rId6" tooltip="Hydrogen" display="https://en.wikipedia.org/wiki/Hydrogen"/>
    <hyperlink ref="H42" r:id="rId7" tooltip="Methane" display="https://en.wikipedia.org/wiki/Methane"/>
    <hyperlink ref="H43" r:id="rId8" tooltip="Ethane" display="https://en.wikipedia.org/wiki/Ethane"/>
    <hyperlink ref="H44" r:id="rId9" tooltip="Propane" display="https://en.wikipedia.org/wiki/Propane"/>
    <hyperlink ref="H45" r:id="rId10" tooltip="Butane" display="https://en.wikipedia.org/wiki/Butane"/>
    <hyperlink ref="H46" r:id="rId11" tooltip="Pentane" display="https://en.wikipedia.org/wiki/Pentane"/>
    <hyperlink ref="H38" r:id="rId12" display="http://webbook.nist.gov/chemistry"/>
  </hyperlinks>
  <printOptions/>
  <pageMargins left="0.7" right="0.7" top="0.75" bottom="0.75" header="0.3" footer="0.3"/>
  <pageSetup orientation="portrait" paperSize="9"/>
  <ignoredErrors>
    <ignoredError sqref="I31" formula="1"/>
  </ignoredErrors>
  <drawing r:id="rId15"/>
  <legacyDrawing r:id="rId14"/>
  <oleObjects>
    <oleObject progId="Equation.3" shapeId="2229440" r:id="rId13"/>
  </oleObjects>
</worksheet>
</file>

<file path=xl/worksheets/sheet4.xml><?xml version="1.0" encoding="utf-8"?>
<worksheet xmlns="http://schemas.openxmlformats.org/spreadsheetml/2006/main" xmlns:r="http://schemas.openxmlformats.org/officeDocument/2006/relationships">
  <sheetPr codeName="Sheet7"/>
  <dimension ref="B2:Q189"/>
  <sheetViews>
    <sheetView showGridLines="0" zoomScalePageLayoutView="0" workbookViewId="0" topLeftCell="A1">
      <selection activeCell="A1" sqref="A1"/>
    </sheetView>
  </sheetViews>
  <sheetFormatPr defaultColWidth="9.140625" defaultRowHeight="15"/>
  <cols>
    <col min="1" max="1" width="4.421875" style="0" customWidth="1"/>
    <col min="2" max="2" width="4.421875" style="1" customWidth="1"/>
    <col min="3" max="3" width="12.8515625" style="0" customWidth="1"/>
    <col min="9" max="9" width="9.28125" style="0" customWidth="1"/>
  </cols>
  <sheetData>
    <row r="2" spans="2:3" ht="14.25">
      <c r="B2" s="1" t="s">
        <v>421</v>
      </c>
      <c r="C2" s="123" t="s">
        <v>403</v>
      </c>
    </row>
    <row r="3" ht="30.75">
      <c r="C3" s="163" t="s">
        <v>347</v>
      </c>
    </row>
    <row r="5" ht="16.5">
      <c r="C5" t="s">
        <v>358</v>
      </c>
    </row>
    <row r="6" spans="2:3" s="144" customFormat="1" ht="14.25">
      <c r="B6" s="1"/>
      <c r="C6" s="144" t="s">
        <v>359</v>
      </c>
    </row>
    <row r="7" s="144" customFormat="1" ht="14.25">
      <c r="B7" s="1"/>
    </row>
    <row r="8" ht="14.25">
      <c r="C8" s="164"/>
    </row>
    <row r="9" ht="14.25">
      <c r="C9" s="164" t="s">
        <v>348</v>
      </c>
    </row>
    <row r="10" ht="14.25">
      <c r="C10" s="164" t="s">
        <v>349</v>
      </c>
    </row>
    <row r="11" ht="14.25">
      <c r="C11" s="164" t="s">
        <v>350</v>
      </c>
    </row>
    <row r="13" ht="14.25">
      <c r="C13" t="s">
        <v>360</v>
      </c>
    </row>
    <row r="14" spans="2:3" s="144" customFormat="1" ht="14.25">
      <c r="B14" s="1"/>
      <c r="C14" s="144" t="s">
        <v>361</v>
      </c>
    </row>
    <row r="16" ht="23.25">
      <c r="C16" s="29" t="s">
        <v>351</v>
      </c>
    </row>
    <row r="17" ht="14.25">
      <c r="C17" s="154"/>
    </row>
    <row r="18" ht="14.25">
      <c r="C18" s="144" t="s">
        <v>352</v>
      </c>
    </row>
    <row r="19" ht="14.25">
      <c r="C19" s="165"/>
    </row>
    <row r="20" ht="14.25">
      <c r="C20" s="144" t="s">
        <v>353</v>
      </c>
    </row>
    <row r="21" ht="14.25">
      <c r="C21" s="144" t="s">
        <v>354</v>
      </c>
    </row>
    <row r="22" ht="14.25">
      <c r="C22" s="144" t="s">
        <v>355</v>
      </c>
    </row>
    <row r="23" ht="14.25">
      <c r="C23" s="144" t="s">
        <v>356</v>
      </c>
    </row>
    <row r="24" ht="14.25">
      <c r="C24" s="144" t="s">
        <v>357</v>
      </c>
    </row>
    <row r="25" ht="14.25">
      <c r="C25" s="154"/>
    </row>
    <row r="27" ht="23.25">
      <c r="C27" s="29" t="s">
        <v>362</v>
      </c>
    </row>
    <row r="29" ht="14.25">
      <c r="C29" t="s">
        <v>368</v>
      </c>
    </row>
    <row r="30" ht="14.25">
      <c r="C30" t="s">
        <v>369</v>
      </c>
    </row>
    <row r="31" spans="2:3" s="144" customFormat="1" ht="14.25">
      <c r="B31" s="1"/>
      <c r="C31" s="144" t="s">
        <v>370</v>
      </c>
    </row>
    <row r="32" s="144" customFormat="1" ht="14.25">
      <c r="B32" s="1"/>
    </row>
    <row r="33" s="144" customFormat="1" ht="14.25">
      <c r="B33" s="1"/>
    </row>
    <row r="34" ht="14.25">
      <c r="C34" t="s">
        <v>363</v>
      </c>
    </row>
    <row r="35" ht="14.25">
      <c r="C35" s="164"/>
    </row>
    <row r="36" ht="14.25">
      <c r="C36" s="164" t="s">
        <v>371</v>
      </c>
    </row>
    <row r="37" spans="2:3" s="144" customFormat="1" ht="14.25">
      <c r="B37" s="1"/>
      <c r="C37" s="164" t="s">
        <v>372</v>
      </c>
    </row>
    <row r="38" spans="2:3" s="144" customFormat="1" ht="14.25">
      <c r="B38" s="1"/>
      <c r="C38" s="164" t="s">
        <v>373</v>
      </c>
    </row>
    <row r="39" spans="2:3" s="144" customFormat="1" ht="14.25">
      <c r="B39" s="1"/>
      <c r="C39" s="164" t="s">
        <v>374</v>
      </c>
    </row>
    <row r="40" spans="2:3" s="144" customFormat="1" ht="14.25">
      <c r="B40" s="1"/>
      <c r="C40" s="164"/>
    </row>
    <row r="41" ht="14.25">
      <c r="C41" s="164" t="s">
        <v>375</v>
      </c>
    </row>
    <row r="42" spans="2:3" s="144" customFormat="1" ht="14.25">
      <c r="B42" s="1"/>
      <c r="C42" s="164" t="s">
        <v>376</v>
      </c>
    </row>
    <row r="43" spans="2:3" s="144" customFormat="1" ht="14.25">
      <c r="B43" s="1"/>
      <c r="C43" s="164"/>
    </row>
    <row r="44" spans="3:15" ht="14.25">
      <c r="C44" s="164" t="s">
        <v>377</v>
      </c>
      <c r="O44" t="s">
        <v>3</v>
      </c>
    </row>
    <row r="45" ht="14.25">
      <c r="C45" s="164" t="s">
        <v>378</v>
      </c>
    </row>
    <row r="46" spans="2:3" s="144" customFormat="1" ht="15">
      <c r="B46" s="1"/>
      <c r="C46" s="164"/>
    </row>
    <row r="47" spans="2:3" s="144" customFormat="1" ht="15">
      <c r="B47" s="1"/>
      <c r="C47" s="164"/>
    </row>
    <row r="48" ht="15">
      <c r="C48" s="164" t="s">
        <v>364</v>
      </c>
    </row>
    <row r="49" ht="15">
      <c r="C49" s="164"/>
    </row>
    <row r="50" ht="18">
      <c r="C50" s="166" t="s">
        <v>365</v>
      </c>
    </row>
    <row r="51" spans="2:3" s="144" customFormat="1" ht="15">
      <c r="B51" s="1"/>
      <c r="C51" s="166"/>
    </row>
    <row r="52" spans="2:3" s="144" customFormat="1" ht="15">
      <c r="B52" s="1"/>
      <c r="C52" s="166"/>
    </row>
    <row r="53" spans="2:3" s="144" customFormat="1" ht="15">
      <c r="B53" s="1"/>
      <c r="C53" s="166"/>
    </row>
    <row r="54" spans="2:3" s="144" customFormat="1" ht="15">
      <c r="B54" s="1"/>
      <c r="C54" s="166"/>
    </row>
    <row r="55" ht="15"/>
    <row r="56" ht="14.25">
      <c r="C56" s="144" t="s">
        <v>366</v>
      </c>
    </row>
    <row r="58" ht="14.25">
      <c r="C58" t="s">
        <v>379</v>
      </c>
    </row>
    <row r="59" ht="14.25">
      <c r="C59" t="s">
        <v>380</v>
      </c>
    </row>
    <row r="60" spans="2:3" s="144" customFormat="1" ht="14.25">
      <c r="B60" s="1"/>
      <c r="C60" s="144" t="s">
        <v>381</v>
      </c>
    </row>
    <row r="61" spans="2:3" s="144" customFormat="1" ht="14.25">
      <c r="B61" s="1"/>
      <c r="C61" s="144" t="s">
        <v>382</v>
      </c>
    </row>
    <row r="62" s="144" customFormat="1" ht="14.25">
      <c r="B62" s="1"/>
    </row>
    <row r="63" ht="14.25">
      <c r="C63" t="s">
        <v>383</v>
      </c>
    </row>
    <row r="64" spans="2:3" s="144" customFormat="1" ht="14.25">
      <c r="B64" s="1"/>
      <c r="C64" s="144" t="s">
        <v>384</v>
      </c>
    </row>
    <row r="65" ht="14.25">
      <c r="C65" s="164"/>
    </row>
    <row r="66" ht="14.25">
      <c r="C66" s="164" t="s">
        <v>367</v>
      </c>
    </row>
    <row r="67" ht="14.25">
      <c r="C67" s="164" t="s">
        <v>385</v>
      </c>
    </row>
    <row r="68" ht="14.25">
      <c r="C68" t="s">
        <v>386</v>
      </c>
    </row>
    <row r="69" ht="14.25">
      <c r="C69" s="164" t="s">
        <v>387</v>
      </c>
    </row>
    <row r="70" ht="14.25">
      <c r="C70" t="s">
        <v>388</v>
      </c>
    </row>
    <row r="73" ht="23.25">
      <c r="C73" s="29" t="s">
        <v>389</v>
      </c>
    </row>
    <row r="74" ht="14.25">
      <c r="I74" t="s">
        <v>420</v>
      </c>
    </row>
    <row r="75" spans="3:9" ht="23.25">
      <c r="C75" s="341" t="s">
        <v>390</v>
      </c>
      <c r="D75" s="342"/>
      <c r="E75" s="342"/>
      <c r="F75" s="342"/>
      <c r="G75" s="342"/>
      <c r="I75" s="29" t="s">
        <v>121</v>
      </c>
    </row>
    <row r="76" spans="3:7" ht="14.25">
      <c r="C76" s="347" t="s">
        <v>391</v>
      </c>
      <c r="D76" s="348"/>
      <c r="E76" s="348"/>
      <c r="F76" s="348"/>
      <c r="G76" s="348"/>
    </row>
    <row r="77" spans="3:13" ht="25.5">
      <c r="C77" s="30" t="s">
        <v>392</v>
      </c>
      <c r="D77" s="167" t="s">
        <v>393</v>
      </c>
      <c r="E77" s="167" t="s">
        <v>394</v>
      </c>
      <c r="F77" s="167" t="s">
        <v>395</v>
      </c>
      <c r="G77" s="167" t="s">
        <v>396</v>
      </c>
      <c r="I77" s="30" t="s">
        <v>122</v>
      </c>
      <c r="J77" s="30" t="s">
        <v>39</v>
      </c>
      <c r="K77" s="30" t="s">
        <v>123</v>
      </c>
      <c r="L77" s="30" t="s">
        <v>124</v>
      </c>
      <c r="M77" s="30" t="s">
        <v>125</v>
      </c>
    </row>
    <row r="78" spans="3:17" ht="12" customHeight="1">
      <c r="C78" s="168" t="s">
        <v>95</v>
      </c>
      <c r="D78" s="31">
        <v>49.5</v>
      </c>
      <c r="E78" s="169">
        <v>20900</v>
      </c>
      <c r="F78" s="169">
        <v>2877</v>
      </c>
      <c r="G78" s="31">
        <v>45.75</v>
      </c>
      <c r="I78" s="344" t="s">
        <v>126</v>
      </c>
      <c r="J78" s="345"/>
      <c r="K78" s="345"/>
      <c r="L78" s="345"/>
      <c r="M78" s="346"/>
      <c r="O78" s="1" t="s">
        <v>335</v>
      </c>
      <c r="P78" s="1">
        <v>15.4</v>
      </c>
      <c r="Q78" t="s">
        <v>1</v>
      </c>
    </row>
    <row r="79" spans="3:17" ht="12" customHeight="1">
      <c r="C79" s="168" t="s">
        <v>404</v>
      </c>
      <c r="D79" s="31">
        <v>27</v>
      </c>
      <c r="E79" s="169">
        <v>14000</v>
      </c>
      <c r="F79" s="31"/>
      <c r="G79" s="31"/>
      <c r="I79" s="31" t="s">
        <v>50</v>
      </c>
      <c r="J79" s="31">
        <v>50.009</v>
      </c>
      <c r="K79" s="31" t="s">
        <v>127</v>
      </c>
      <c r="L79" s="31" t="s">
        <v>127</v>
      </c>
      <c r="M79" s="31">
        <v>802.34</v>
      </c>
      <c r="O79" s="1" t="s">
        <v>335</v>
      </c>
      <c r="P79" s="1">
        <f>P78*1.8+32</f>
        <v>59.72</v>
      </c>
      <c r="Q79" t="s">
        <v>303</v>
      </c>
    </row>
    <row r="80" spans="3:13" ht="12" customHeight="1">
      <c r="C80" s="168" t="s">
        <v>399</v>
      </c>
      <c r="D80" s="31">
        <v>15</v>
      </c>
      <c r="E80" s="169">
        <v>8000</v>
      </c>
      <c r="F80" s="31"/>
      <c r="G80" s="31"/>
      <c r="I80" s="31" t="s">
        <v>51</v>
      </c>
      <c r="J80" s="31">
        <v>47.794</v>
      </c>
      <c r="K80" s="31" t="s">
        <v>127</v>
      </c>
      <c r="L80" s="31" t="s">
        <v>127</v>
      </c>
      <c r="M80" s="31">
        <v>1437.17</v>
      </c>
    </row>
    <row r="81" spans="3:17" ht="12" customHeight="1">
      <c r="C81" s="168" t="s">
        <v>397</v>
      </c>
      <c r="D81" s="31">
        <v>44.8</v>
      </c>
      <c r="E81" s="169">
        <v>19300</v>
      </c>
      <c r="F81" s="31"/>
      <c r="G81" s="31"/>
      <c r="I81" s="31" t="s">
        <v>52</v>
      </c>
      <c r="J81" s="31">
        <v>46.357</v>
      </c>
      <c r="K81" s="31" t="s">
        <v>127</v>
      </c>
      <c r="L81" s="31" t="s">
        <v>127</v>
      </c>
      <c r="M81" s="31">
        <v>2044.21</v>
      </c>
      <c r="O81" s="1" t="s">
        <v>335</v>
      </c>
      <c r="P81" s="1">
        <v>60</v>
      </c>
      <c r="Q81" t="s">
        <v>303</v>
      </c>
    </row>
    <row r="82" spans="3:17" ht="12" customHeight="1">
      <c r="C82" s="168" t="s">
        <v>397</v>
      </c>
      <c r="D82" s="31">
        <v>44.8</v>
      </c>
      <c r="E82" s="169">
        <v>19300</v>
      </c>
      <c r="F82" s="31"/>
      <c r="G82" s="31"/>
      <c r="I82" s="31" t="s">
        <v>95</v>
      </c>
      <c r="J82" s="31">
        <v>45.752</v>
      </c>
      <c r="K82" s="31" t="s">
        <v>127</v>
      </c>
      <c r="L82" s="31" t="s">
        <v>127</v>
      </c>
      <c r="M82" s="31">
        <v>2659.3</v>
      </c>
      <c r="O82" s="1" t="s">
        <v>335</v>
      </c>
      <c r="P82" s="107">
        <f>(P81-32)/1.8</f>
        <v>15.555555555555555</v>
      </c>
      <c r="Q82" t="s">
        <v>1</v>
      </c>
    </row>
    <row r="83" spans="3:13" ht="12" customHeight="1">
      <c r="C83" s="168" t="s">
        <v>51</v>
      </c>
      <c r="D83" s="31">
        <v>51.9</v>
      </c>
      <c r="E83" s="169">
        <v>22400</v>
      </c>
      <c r="F83" s="169">
        <v>1560</v>
      </c>
      <c r="G83" s="31">
        <v>47.8</v>
      </c>
      <c r="I83" s="31" t="s">
        <v>76</v>
      </c>
      <c r="J83" s="31">
        <v>45.357</v>
      </c>
      <c r="K83" s="31" t="s">
        <v>7</v>
      </c>
      <c r="L83" s="31" t="s">
        <v>127</v>
      </c>
      <c r="M83" s="31">
        <v>3272.57</v>
      </c>
    </row>
    <row r="84" spans="3:13" ht="12" customHeight="1">
      <c r="C84" s="168" t="s">
        <v>51</v>
      </c>
      <c r="D84" s="31">
        <v>51.9</v>
      </c>
      <c r="E84" s="169">
        <v>22400</v>
      </c>
      <c r="F84" s="169">
        <v>1560</v>
      </c>
      <c r="G84" s="31">
        <v>47.8</v>
      </c>
      <c r="I84" s="31" t="s">
        <v>128</v>
      </c>
      <c r="J84" s="31">
        <v>44.752</v>
      </c>
      <c r="K84" s="31" t="s">
        <v>7</v>
      </c>
      <c r="L84" s="31" t="s">
        <v>127</v>
      </c>
      <c r="M84" s="31">
        <v>3856.66</v>
      </c>
    </row>
    <row r="85" spans="3:15" ht="12" customHeight="1">
      <c r="C85" s="168" t="s">
        <v>226</v>
      </c>
      <c r="D85" s="31">
        <v>47.3</v>
      </c>
      <c r="E85" s="169">
        <v>20400</v>
      </c>
      <c r="F85" s="31"/>
      <c r="G85" s="31">
        <v>44.4</v>
      </c>
      <c r="I85" s="31" t="s">
        <v>129</v>
      </c>
      <c r="J85" s="31">
        <v>44.566</v>
      </c>
      <c r="K85" s="31" t="s">
        <v>7</v>
      </c>
      <c r="L85" s="31" t="s">
        <v>127</v>
      </c>
      <c r="M85" s="31">
        <v>4465.76</v>
      </c>
      <c r="O85" t="s">
        <v>109</v>
      </c>
    </row>
    <row r="86" spans="3:17" ht="12" customHeight="1">
      <c r="C86" s="168" t="s">
        <v>226</v>
      </c>
      <c r="D86" s="31">
        <v>47.3</v>
      </c>
      <c r="E86" s="169">
        <v>20400</v>
      </c>
      <c r="F86" s="31"/>
      <c r="G86" s="31">
        <v>44.4</v>
      </c>
      <c r="I86" s="171" t="s">
        <v>109</v>
      </c>
      <c r="J86" s="171">
        <v>44.427</v>
      </c>
      <c r="K86" s="31" t="s">
        <v>7</v>
      </c>
      <c r="L86" s="31" t="s">
        <v>127</v>
      </c>
      <c r="M86" s="31" t="s">
        <v>127</v>
      </c>
      <c r="O86" s="172" t="s">
        <v>25</v>
      </c>
      <c r="P86" s="2">
        <f>J86</f>
        <v>44.427</v>
      </c>
      <c r="Q86" s="173" t="s">
        <v>39</v>
      </c>
    </row>
    <row r="87" spans="3:13" ht="12" customHeight="1">
      <c r="C87" s="168" t="s">
        <v>68</v>
      </c>
      <c r="D87" s="31">
        <v>141.8</v>
      </c>
      <c r="E87" s="169">
        <v>61000</v>
      </c>
      <c r="F87" s="31">
        <v>286</v>
      </c>
      <c r="G87" s="31">
        <v>121</v>
      </c>
      <c r="I87" s="31" t="s">
        <v>130</v>
      </c>
      <c r="J87" s="31">
        <v>44.311</v>
      </c>
      <c r="K87" s="31" t="s">
        <v>7</v>
      </c>
      <c r="L87" s="31" t="s">
        <v>127</v>
      </c>
      <c r="M87" s="31" t="s">
        <v>127</v>
      </c>
    </row>
    <row r="88" spans="3:13" ht="12" customHeight="1">
      <c r="C88" s="168" t="s">
        <v>68</v>
      </c>
      <c r="D88" s="31">
        <v>141.8</v>
      </c>
      <c r="E88" s="169">
        <v>61000</v>
      </c>
      <c r="F88" s="31">
        <v>286</v>
      </c>
      <c r="G88" s="31">
        <v>121</v>
      </c>
      <c r="I88" s="31" t="s">
        <v>131</v>
      </c>
      <c r="J88" s="31">
        <v>44.24</v>
      </c>
      <c r="K88" s="31" t="s">
        <v>127</v>
      </c>
      <c r="L88" s="31" t="s">
        <v>127</v>
      </c>
      <c r="M88" s="31" t="s">
        <v>127</v>
      </c>
    </row>
    <row r="89" spans="3:13" ht="12" customHeight="1">
      <c r="C89" s="168" t="s">
        <v>228</v>
      </c>
      <c r="D89" s="31">
        <v>46.2</v>
      </c>
      <c r="E89" s="31"/>
      <c r="F89" s="31"/>
      <c r="G89" s="31">
        <v>43</v>
      </c>
      <c r="I89" s="31" t="s">
        <v>132</v>
      </c>
      <c r="J89" s="31">
        <v>44.194</v>
      </c>
      <c r="K89" s="31" t="s">
        <v>127</v>
      </c>
      <c r="L89" s="31" t="s">
        <v>127</v>
      </c>
      <c r="M89" s="31" t="s">
        <v>127</v>
      </c>
    </row>
    <row r="90" spans="3:13" ht="12" customHeight="1">
      <c r="C90" s="168" t="s">
        <v>50</v>
      </c>
      <c r="D90" s="31">
        <v>55.5</v>
      </c>
      <c r="E90" s="169">
        <v>23900</v>
      </c>
      <c r="F90" s="31">
        <v>889</v>
      </c>
      <c r="G90" s="31">
        <v>50</v>
      </c>
      <c r="I90" s="31" t="s">
        <v>133</v>
      </c>
      <c r="J90" s="31">
        <v>44.147</v>
      </c>
      <c r="K90" s="31" t="s">
        <v>127</v>
      </c>
      <c r="L90" s="31" t="s">
        <v>127</v>
      </c>
      <c r="M90" s="31" t="s">
        <v>127</v>
      </c>
    </row>
    <row r="91" spans="3:7" ht="12" customHeight="1">
      <c r="C91" s="168" t="s">
        <v>235</v>
      </c>
      <c r="D91" s="31">
        <v>46</v>
      </c>
      <c r="E91" s="169">
        <v>19900</v>
      </c>
      <c r="F91" s="31"/>
      <c r="G91" s="31">
        <v>41.5</v>
      </c>
    </row>
    <row r="92" spans="3:13" ht="12" customHeight="1">
      <c r="C92" s="168" t="s">
        <v>235</v>
      </c>
      <c r="D92" s="31">
        <v>46</v>
      </c>
      <c r="E92" s="169">
        <v>19900</v>
      </c>
      <c r="F92" s="31"/>
      <c r="G92" s="31">
        <v>41.5</v>
      </c>
      <c r="I92" s="344" t="s">
        <v>134</v>
      </c>
      <c r="J92" s="345"/>
      <c r="K92" s="345"/>
      <c r="L92" s="345"/>
      <c r="M92" s="346"/>
    </row>
    <row r="93" spans="3:13" ht="12" customHeight="1">
      <c r="C93" s="168" t="s">
        <v>401</v>
      </c>
      <c r="D93" s="31">
        <v>6</v>
      </c>
      <c r="E93" s="169">
        <v>2500</v>
      </c>
      <c r="F93" s="31"/>
      <c r="G93" s="31"/>
      <c r="I93" s="247" t="s">
        <v>135</v>
      </c>
      <c r="J93" s="31">
        <v>45.613</v>
      </c>
      <c r="K93" s="31" t="s">
        <v>127</v>
      </c>
      <c r="L93" s="31" t="s">
        <v>127</v>
      </c>
      <c r="M93" s="31" t="s">
        <v>127</v>
      </c>
    </row>
    <row r="94" spans="3:13" ht="12" customHeight="1">
      <c r="C94" s="168" t="s">
        <v>402</v>
      </c>
      <c r="D94" s="31">
        <v>15</v>
      </c>
      <c r="E94" s="169">
        <v>6500</v>
      </c>
      <c r="F94" s="31"/>
      <c r="G94" s="31"/>
      <c r="I94" s="247" t="s">
        <v>136</v>
      </c>
      <c r="J94" s="31">
        <v>45.241</v>
      </c>
      <c r="K94" s="31" t="s">
        <v>127</v>
      </c>
      <c r="L94" s="31" t="s">
        <v>127</v>
      </c>
      <c r="M94" s="31" t="s">
        <v>127</v>
      </c>
    </row>
    <row r="95" spans="3:13" ht="12" customHeight="1">
      <c r="C95" s="168" t="s">
        <v>76</v>
      </c>
      <c r="D95" s="31"/>
      <c r="E95" s="31"/>
      <c r="F95" s="31"/>
      <c r="G95" s="31">
        <v>45.35</v>
      </c>
      <c r="I95" s="247" t="s">
        <v>137</v>
      </c>
      <c r="J95" s="31">
        <v>44.682</v>
      </c>
      <c r="K95" s="31" t="s">
        <v>127</v>
      </c>
      <c r="L95" s="31" t="s">
        <v>127</v>
      </c>
      <c r="M95" s="31" t="s">
        <v>127</v>
      </c>
    </row>
    <row r="96" spans="3:13" ht="12" customHeight="1">
      <c r="C96" s="168" t="s">
        <v>52</v>
      </c>
      <c r="D96" s="31">
        <v>50.35</v>
      </c>
      <c r="E96" s="169">
        <v>21700</v>
      </c>
      <c r="F96" s="169">
        <v>2220</v>
      </c>
      <c r="G96" s="31">
        <v>46.35</v>
      </c>
      <c r="I96" s="247" t="s">
        <v>138</v>
      </c>
      <c r="J96" s="31">
        <v>44.659</v>
      </c>
      <c r="K96" s="31" t="s">
        <v>127</v>
      </c>
      <c r="L96" s="31" t="s">
        <v>127</v>
      </c>
      <c r="M96" s="31" t="s">
        <v>127</v>
      </c>
    </row>
    <row r="97" spans="3:13" ht="12" customHeight="1">
      <c r="C97" s="168" t="s">
        <v>400</v>
      </c>
      <c r="D97" s="31">
        <v>15</v>
      </c>
      <c r="E97" s="169">
        <v>6500</v>
      </c>
      <c r="F97" s="31"/>
      <c r="G97" s="31"/>
      <c r="I97" s="247" t="s">
        <v>139</v>
      </c>
      <c r="J97" s="31">
        <v>44.496</v>
      </c>
      <c r="K97" s="31" t="s">
        <v>127</v>
      </c>
      <c r="L97" s="31" t="s">
        <v>127</v>
      </c>
      <c r="M97" s="31" t="s">
        <v>127</v>
      </c>
    </row>
    <row r="98" spans="9:13" ht="14.25" customHeight="1">
      <c r="I98" s="247" t="s">
        <v>140</v>
      </c>
      <c r="J98" s="31">
        <v>44.31</v>
      </c>
      <c r="K98" s="31" t="s">
        <v>7</v>
      </c>
      <c r="L98" s="31" t="s">
        <v>127</v>
      </c>
      <c r="M98" s="31" t="s">
        <v>127</v>
      </c>
    </row>
    <row r="99" spans="3:6" ht="14.25">
      <c r="C99" s="349" t="s">
        <v>409</v>
      </c>
      <c r="D99" s="350"/>
      <c r="E99" s="350"/>
      <c r="F99" s="350"/>
    </row>
    <row r="100" spans="3:13" ht="14.25" customHeight="1">
      <c r="C100" s="144" t="s">
        <v>410</v>
      </c>
      <c r="I100" s="344" t="s">
        <v>146</v>
      </c>
      <c r="J100" s="345"/>
      <c r="K100" s="345"/>
      <c r="L100" s="345"/>
      <c r="M100" s="346"/>
    </row>
    <row r="101" spans="3:13" ht="25.5">
      <c r="C101" s="167" t="s">
        <v>392</v>
      </c>
      <c r="D101" s="167" t="s">
        <v>405</v>
      </c>
      <c r="E101" s="167" t="s">
        <v>406</v>
      </c>
      <c r="F101" s="167" t="s">
        <v>407</v>
      </c>
      <c r="I101" s="247" t="s">
        <v>101</v>
      </c>
      <c r="J101" s="31">
        <v>47.195</v>
      </c>
      <c r="K101" s="31" t="s">
        <v>127</v>
      </c>
      <c r="L101" s="31" t="s">
        <v>127</v>
      </c>
      <c r="M101" s="31" t="s">
        <v>127</v>
      </c>
    </row>
    <row r="102" spans="3:13" ht="14.25">
      <c r="C102" s="168" t="s">
        <v>68</v>
      </c>
      <c r="D102" s="31">
        <v>141.9</v>
      </c>
      <c r="E102" s="31">
        <v>33.9</v>
      </c>
      <c r="F102" s="169">
        <v>61000</v>
      </c>
      <c r="I102" s="247" t="s">
        <v>147</v>
      </c>
      <c r="J102" s="31">
        <v>45.799</v>
      </c>
      <c r="K102" s="31" t="s">
        <v>127</v>
      </c>
      <c r="L102" s="31" t="s">
        <v>127</v>
      </c>
      <c r="M102" s="31" t="s">
        <v>127</v>
      </c>
    </row>
    <row r="103" spans="3:13" ht="14.25">
      <c r="C103" s="168" t="s">
        <v>226</v>
      </c>
      <c r="D103" s="31">
        <v>47</v>
      </c>
      <c r="E103" s="31">
        <v>11.3</v>
      </c>
      <c r="F103" s="169">
        <v>20000</v>
      </c>
      <c r="I103" s="247" t="s">
        <v>148</v>
      </c>
      <c r="J103" s="31">
        <v>45.334</v>
      </c>
      <c r="K103" s="31" t="s">
        <v>127</v>
      </c>
      <c r="L103" s="31" t="s">
        <v>127</v>
      </c>
      <c r="M103" s="31" t="s">
        <v>127</v>
      </c>
    </row>
    <row r="104" spans="3:13" ht="14.25">
      <c r="C104" s="168" t="s">
        <v>397</v>
      </c>
      <c r="D104" s="31">
        <v>45</v>
      </c>
      <c r="E104" s="31">
        <v>10.7</v>
      </c>
      <c r="F104" s="169">
        <v>19300</v>
      </c>
      <c r="I104" s="247" t="s">
        <v>149</v>
      </c>
      <c r="J104" s="31">
        <v>45.194</v>
      </c>
      <c r="K104" s="31" t="s">
        <v>127</v>
      </c>
      <c r="L104" s="31" t="s">
        <v>127</v>
      </c>
      <c r="M104" s="31" t="s">
        <v>127</v>
      </c>
    </row>
    <row r="105" spans="3:13" ht="20.25">
      <c r="C105" s="168" t="s">
        <v>178</v>
      </c>
      <c r="D105" s="31">
        <v>29.8</v>
      </c>
      <c r="E105" s="31">
        <v>7.1</v>
      </c>
      <c r="F105" s="169">
        <v>12000</v>
      </c>
      <c r="I105" s="247" t="s">
        <v>150</v>
      </c>
      <c r="J105" s="31">
        <v>45.124</v>
      </c>
      <c r="K105" s="31" t="s">
        <v>127</v>
      </c>
      <c r="L105" s="31" t="s">
        <v>127</v>
      </c>
      <c r="M105" s="31" t="s">
        <v>127</v>
      </c>
    </row>
    <row r="106" spans="3:13" ht="14.25">
      <c r="C106" s="168" t="s">
        <v>52</v>
      </c>
      <c r="D106" s="31">
        <v>49.9</v>
      </c>
      <c r="E106" s="31">
        <v>11.9</v>
      </c>
      <c r="F106" s="169">
        <v>21000</v>
      </c>
      <c r="I106" s="247" t="s">
        <v>151</v>
      </c>
      <c r="J106" s="31">
        <v>45.055</v>
      </c>
      <c r="K106" s="31" t="s">
        <v>127</v>
      </c>
      <c r="L106" s="31" t="s">
        <v>127</v>
      </c>
      <c r="M106" s="31" t="s">
        <v>127</v>
      </c>
    </row>
    <row r="107" spans="3:13" ht="14.25">
      <c r="C107" s="168" t="s">
        <v>95</v>
      </c>
      <c r="D107" s="31">
        <v>49.2</v>
      </c>
      <c r="E107" s="31">
        <v>11.8</v>
      </c>
      <c r="F107" s="169">
        <v>21200</v>
      </c>
      <c r="I107" s="247" t="s">
        <v>152</v>
      </c>
      <c r="J107" s="31">
        <v>45.031</v>
      </c>
      <c r="K107" s="31" t="s">
        <v>127</v>
      </c>
      <c r="L107" s="31" t="s">
        <v>127</v>
      </c>
      <c r="M107" s="31" t="s">
        <v>127</v>
      </c>
    </row>
    <row r="108" spans="3:13" ht="20.25">
      <c r="C108" s="168" t="s">
        <v>400</v>
      </c>
      <c r="D108" s="31">
        <v>15</v>
      </c>
      <c r="E108" s="31">
        <v>3.6</v>
      </c>
      <c r="F108" s="169">
        <v>6000</v>
      </c>
      <c r="I108" s="247" t="s">
        <v>153</v>
      </c>
      <c r="J108" s="31">
        <v>44.799</v>
      </c>
      <c r="K108" s="31" t="s">
        <v>127</v>
      </c>
      <c r="L108" s="31" t="s">
        <v>127</v>
      </c>
      <c r="M108" s="31" t="s">
        <v>127</v>
      </c>
    </row>
    <row r="109" spans="3:13" ht="14.25">
      <c r="C109" s="168" t="s">
        <v>399</v>
      </c>
      <c r="D109" s="31">
        <v>15</v>
      </c>
      <c r="E109" s="31">
        <v>4.4</v>
      </c>
      <c r="F109" s="169">
        <v>8000</v>
      </c>
      <c r="I109" s="247" t="s">
        <v>154</v>
      </c>
      <c r="J109" s="31">
        <v>44.426</v>
      </c>
      <c r="K109" s="31" t="s">
        <v>127</v>
      </c>
      <c r="L109" s="31" t="s">
        <v>127</v>
      </c>
      <c r="M109" s="31" t="s">
        <v>127</v>
      </c>
    </row>
    <row r="110" spans="3:13" ht="14.25" customHeight="1">
      <c r="C110" s="168" t="s">
        <v>398</v>
      </c>
      <c r="D110" s="31">
        <v>27</v>
      </c>
      <c r="E110" s="31">
        <v>7.8</v>
      </c>
      <c r="F110" s="169">
        <v>14000</v>
      </c>
      <c r="I110" s="344" t="s">
        <v>155</v>
      </c>
      <c r="J110" s="345"/>
      <c r="K110" s="345"/>
      <c r="L110" s="345"/>
      <c r="M110" s="346"/>
    </row>
    <row r="111" spans="3:13" ht="28.5">
      <c r="C111" s="168" t="s">
        <v>408</v>
      </c>
      <c r="D111" s="31">
        <v>54</v>
      </c>
      <c r="E111" s="31">
        <v>13</v>
      </c>
      <c r="F111" s="169">
        <v>23000</v>
      </c>
      <c r="I111" s="31" t="s">
        <v>156</v>
      </c>
      <c r="J111" s="31">
        <v>44.613</v>
      </c>
      <c r="K111" s="31" t="s">
        <v>127</v>
      </c>
      <c r="L111" s="31" t="s">
        <v>127</v>
      </c>
      <c r="M111" s="31" t="s">
        <v>127</v>
      </c>
    </row>
    <row r="112" spans="9:13" ht="14.25">
      <c r="I112" s="31" t="s">
        <v>157</v>
      </c>
      <c r="J112" s="31">
        <v>44.078</v>
      </c>
      <c r="K112" s="31" t="s">
        <v>7</v>
      </c>
      <c r="L112" s="31" t="s">
        <v>127</v>
      </c>
      <c r="M112" s="31" t="s">
        <v>127</v>
      </c>
    </row>
    <row r="113" spans="9:13" ht="14.25" customHeight="1">
      <c r="I113" s="344" t="s">
        <v>158</v>
      </c>
      <c r="J113" s="345"/>
      <c r="K113" s="345"/>
      <c r="L113" s="345"/>
      <c r="M113" s="346"/>
    </row>
    <row r="114" spans="9:13" ht="28.5">
      <c r="I114" s="31" t="s">
        <v>159</v>
      </c>
      <c r="J114" s="31">
        <v>10.513</v>
      </c>
      <c r="K114" s="31" t="s">
        <v>127</v>
      </c>
      <c r="L114" s="31" t="s">
        <v>127</v>
      </c>
      <c r="M114" s="31" t="s">
        <v>127</v>
      </c>
    </row>
    <row r="115" spans="9:13" ht="28.5">
      <c r="I115" s="31" t="s">
        <v>160</v>
      </c>
      <c r="J115" s="31">
        <v>20.693</v>
      </c>
      <c r="K115" s="31" t="s">
        <v>127</v>
      </c>
      <c r="L115" s="31" t="s">
        <v>127</v>
      </c>
      <c r="M115" s="31" t="s">
        <v>127</v>
      </c>
    </row>
    <row r="116" spans="9:13" ht="14.25" customHeight="1">
      <c r="I116" s="344" t="s">
        <v>161</v>
      </c>
      <c r="J116" s="345"/>
      <c r="K116" s="345"/>
      <c r="L116" s="345"/>
      <c r="M116" s="346"/>
    </row>
    <row r="117" spans="9:13" ht="14.25">
      <c r="I117" s="31" t="s">
        <v>162</v>
      </c>
      <c r="J117" s="31">
        <v>48.241</v>
      </c>
      <c r="K117" s="31" t="s">
        <v>127</v>
      </c>
      <c r="L117" s="31" t="s">
        <v>127</v>
      </c>
      <c r="M117" s="31" t="s">
        <v>127</v>
      </c>
    </row>
    <row r="118" spans="9:13" ht="28.5">
      <c r="I118" s="31" t="s">
        <v>163</v>
      </c>
      <c r="J118" s="31">
        <v>46.194</v>
      </c>
      <c r="K118" s="31" t="s">
        <v>127</v>
      </c>
      <c r="L118" s="31" t="s">
        <v>127</v>
      </c>
      <c r="M118" s="31" t="s">
        <v>127</v>
      </c>
    </row>
    <row r="119" spans="9:13" ht="14.25">
      <c r="I119" s="31" t="s">
        <v>164</v>
      </c>
      <c r="J119" s="31">
        <v>45.59</v>
      </c>
      <c r="K119" s="31" t="s">
        <v>127</v>
      </c>
      <c r="L119" s="31" t="s">
        <v>127</v>
      </c>
      <c r="M119" s="31" t="s">
        <v>127</v>
      </c>
    </row>
    <row r="120" spans="9:13" ht="14.25">
      <c r="I120" s="31" t="s">
        <v>165</v>
      </c>
      <c r="J120" s="31">
        <v>45.217</v>
      </c>
      <c r="K120" s="31" t="s">
        <v>127</v>
      </c>
      <c r="L120" s="31" t="s">
        <v>127</v>
      </c>
      <c r="M120" s="31" t="s">
        <v>127</v>
      </c>
    </row>
    <row r="122" spans="9:13" ht="14.25" customHeight="1">
      <c r="I122" s="344" t="s">
        <v>411</v>
      </c>
      <c r="J122" s="345"/>
      <c r="K122" s="345"/>
      <c r="L122" s="345"/>
      <c r="M122" s="346"/>
    </row>
    <row r="123" spans="9:13" ht="14.25">
      <c r="I123" s="31" t="s">
        <v>167</v>
      </c>
      <c r="J123" s="31">
        <v>40.17</v>
      </c>
      <c r="K123" s="31" t="s">
        <v>127</v>
      </c>
      <c r="L123" s="31" t="s">
        <v>127</v>
      </c>
      <c r="M123" s="31" t="s">
        <v>127</v>
      </c>
    </row>
    <row r="124" spans="9:13" ht="14.25">
      <c r="I124" s="31" t="s">
        <v>168</v>
      </c>
      <c r="J124" s="31">
        <v>40.589</v>
      </c>
      <c r="K124" s="31" t="s">
        <v>127</v>
      </c>
      <c r="L124" s="31" t="s">
        <v>127</v>
      </c>
      <c r="M124" s="31" t="s">
        <v>127</v>
      </c>
    </row>
    <row r="125" spans="9:13" ht="14.25">
      <c r="I125" s="31" t="s">
        <v>169</v>
      </c>
      <c r="J125" s="31">
        <v>40.961</v>
      </c>
      <c r="K125" s="31" t="s">
        <v>127</v>
      </c>
      <c r="L125" s="31" t="s">
        <v>127</v>
      </c>
      <c r="M125" s="31" t="s">
        <v>127</v>
      </c>
    </row>
    <row r="126" spans="9:13" ht="14.25">
      <c r="I126" s="31" t="s">
        <v>170</v>
      </c>
      <c r="J126" s="31">
        <v>40.961</v>
      </c>
      <c r="K126" s="31" t="s">
        <v>127</v>
      </c>
      <c r="L126" s="31" t="s">
        <v>127</v>
      </c>
      <c r="M126" s="31" t="s">
        <v>127</v>
      </c>
    </row>
    <row r="127" spans="9:13" ht="14.25">
      <c r="I127" s="31" t="s">
        <v>171</v>
      </c>
      <c r="J127" s="31">
        <v>40.798</v>
      </c>
      <c r="K127" s="31" t="s">
        <v>127</v>
      </c>
      <c r="L127" s="31" t="s">
        <v>127</v>
      </c>
      <c r="M127" s="31" t="s">
        <v>127</v>
      </c>
    </row>
    <row r="128" spans="9:13" ht="28.5">
      <c r="I128" s="31" t="s">
        <v>172</v>
      </c>
      <c r="J128" s="31">
        <v>40.938</v>
      </c>
      <c r="K128" s="31" t="s">
        <v>127</v>
      </c>
      <c r="L128" s="31" t="s">
        <v>127</v>
      </c>
      <c r="M128" s="31" t="s">
        <v>127</v>
      </c>
    </row>
    <row r="129" spans="9:13" ht="42.75">
      <c r="I129" s="31" t="s">
        <v>173</v>
      </c>
      <c r="J129" s="31">
        <v>40.984</v>
      </c>
      <c r="K129" s="31" t="s">
        <v>127</v>
      </c>
      <c r="L129" s="31" t="s">
        <v>127</v>
      </c>
      <c r="M129" s="31" t="s">
        <v>127</v>
      </c>
    </row>
    <row r="130" spans="9:13" ht="28.5">
      <c r="I130" s="31" t="s">
        <v>174</v>
      </c>
      <c r="J130" s="31">
        <v>41.193</v>
      </c>
      <c r="K130" s="31" t="s">
        <v>127</v>
      </c>
      <c r="L130" s="31" t="s">
        <v>127</v>
      </c>
      <c r="M130" s="31" t="s">
        <v>127</v>
      </c>
    </row>
    <row r="131" spans="9:13" ht="14.25">
      <c r="I131" s="31" t="s">
        <v>175</v>
      </c>
      <c r="J131" s="31">
        <v>41.217</v>
      </c>
      <c r="K131" s="31" t="s">
        <v>127</v>
      </c>
      <c r="L131" s="31" t="s">
        <v>127</v>
      </c>
      <c r="M131" s="31" t="s">
        <v>127</v>
      </c>
    </row>
    <row r="132" spans="9:13" ht="14.25" customHeight="1">
      <c r="I132" s="344" t="s">
        <v>176</v>
      </c>
      <c r="J132" s="345"/>
      <c r="K132" s="345"/>
      <c r="L132" s="345"/>
      <c r="M132" s="346"/>
    </row>
    <row r="133" spans="9:13" ht="14.25">
      <c r="I133" s="31" t="s">
        <v>177</v>
      </c>
      <c r="J133" s="31" t="s">
        <v>127</v>
      </c>
      <c r="K133" s="31" t="s">
        <v>127</v>
      </c>
      <c r="L133" s="31" t="s">
        <v>127</v>
      </c>
      <c r="M133" s="32"/>
    </row>
    <row r="134" spans="9:13" ht="14.25">
      <c r="I134" s="31" t="s">
        <v>178</v>
      </c>
      <c r="J134" s="31">
        <v>28.865</v>
      </c>
      <c r="K134" s="31" t="s">
        <v>127</v>
      </c>
      <c r="L134" s="31" t="s">
        <v>127</v>
      </c>
      <c r="M134" s="31" t="s">
        <v>127</v>
      </c>
    </row>
    <row r="135" spans="9:13" ht="28.5">
      <c r="I135" s="31" t="s">
        <v>179</v>
      </c>
      <c r="J135" s="31">
        <v>30.68</v>
      </c>
      <c r="K135" s="31" t="s">
        <v>127</v>
      </c>
      <c r="L135" s="31" t="s">
        <v>127</v>
      </c>
      <c r="M135" s="31" t="s">
        <v>127</v>
      </c>
    </row>
    <row r="136" spans="9:13" ht="28.5">
      <c r="I136" s="31" t="s">
        <v>180</v>
      </c>
      <c r="J136" s="31">
        <v>30.447</v>
      </c>
      <c r="K136" s="31" t="s">
        <v>127</v>
      </c>
      <c r="L136" s="31" t="s">
        <v>127</v>
      </c>
      <c r="M136" s="31" t="s">
        <v>127</v>
      </c>
    </row>
    <row r="137" spans="9:13" ht="14.25">
      <c r="I137" s="31" t="s">
        <v>181</v>
      </c>
      <c r="J137" s="31">
        <v>33.075</v>
      </c>
      <c r="K137" s="31" t="s">
        <v>127</v>
      </c>
      <c r="L137" s="31" t="s">
        <v>127</v>
      </c>
      <c r="M137" s="31" t="s">
        <v>127</v>
      </c>
    </row>
    <row r="138" spans="9:13" ht="28.5">
      <c r="I138" s="31" t="s">
        <v>182</v>
      </c>
      <c r="J138" s="31">
        <v>32.959</v>
      </c>
      <c r="K138" s="31" t="s">
        <v>127</v>
      </c>
      <c r="L138" s="31" t="s">
        <v>127</v>
      </c>
      <c r="M138" s="31" t="s">
        <v>127</v>
      </c>
    </row>
    <row r="139" spans="9:13" ht="28.5">
      <c r="I139" s="31" t="s">
        <v>183</v>
      </c>
      <c r="J139" s="31">
        <v>32.587</v>
      </c>
      <c r="K139" s="31" t="s">
        <v>127</v>
      </c>
      <c r="L139" s="31" t="s">
        <v>127</v>
      </c>
      <c r="M139" s="31" t="s">
        <v>127</v>
      </c>
    </row>
    <row r="140" spans="9:13" ht="28.5">
      <c r="I140" s="31" t="s">
        <v>184</v>
      </c>
      <c r="J140" s="31">
        <v>34.727</v>
      </c>
      <c r="K140" s="31" t="s">
        <v>127</v>
      </c>
      <c r="L140" s="31" t="s">
        <v>127</v>
      </c>
      <c r="M140" s="31" t="s">
        <v>127</v>
      </c>
    </row>
    <row r="141" spans="9:13" ht="14.25" customHeight="1">
      <c r="I141" s="344" t="s">
        <v>185</v>
      </c>
      <c r="J141" s="345"/>
      <c r="K141" s="345"/>
      <c r="L141" s="345"/>
      <c r="M141" s="346"/>
    </row>
    <row r="142" spans="9:13" ht="28.5">
      <c r="I142" s="31" t="s">
        <v>186</v>
      </c>
      <c r="J142" s="31">
        <v>28.703</v>
      </c>
      <c r="K142" s="31" t="s">
        <v>127</v>
      </c>
      <c r="L142" s="31" t="s">
        <v>127</v>
      </c>
      <c r="M142" s="31" t="s">
        <v>127</v>
      </c>
    </row>
    <row r="143" spans="9:13" ht="28.5">
      <c r="I143" s="31" t="s">
        <v>187</v>
      </c>
      <c r="J143" s="31">
        <v>33.867</v>
      </c>
      <c r="K143" s="31" t="s">
        <v>127</v>
      </c>
      <c r="L143" s="31" t="s">
        <v>127</v>
      </c>
      <c r="M143" s="31" t="s">
        <v>127</v>
      </c>
    </row>
    <row r="144" spans="9:13" ht="28.5">
      <c r="I144" s="31" t="s">
        <v>188</v>
      </c>
      <c r="J144" s="31">
        <v>36.355</v>
      </c>
      <c r="K144" s="31" t="s">
        <v>127</v>
      </c>
      <c r="L144" s="31" t="s">
        <v>127</v>
      </c>
      <c r="M144" s="31" t="s">
        <v>127</v>
      </c>
    </row>
    <row r="145" spans="9:13" ht="28.5">
      <c r="I145" s="31" t="s">
        <v>189</v>
      </c>
      <c r="J145" s="31">
        <v>37.798</v>
      </c>
      <c r="K145" s="31" t="s">
        <v>127</v>
      </c>
      <c r="L145" s="31" t="s">
        <v>127</v>
      </c>
      <c r="M145" s="31" t="s">
        <v>127</v>
      </c>
    </row>
    <row r="146" spans="9:13" ht="14.25" customHeight="1">
      <c r="I146" s="344" t="s">
        <v>190</v>
      </c>
      <c r="J146" s="345"/>
      <c r="K146" s="345"/>
      <c r="L146" s="345"/>
      <c r="M146" s="346"/>
    </row>
    <row r="147" spans="9:13" ht="14.25">
      <c r="I147" s="31" t="s">
        <v>191</v>
      </c>
      <c r="J147" s="31">
        <v>17.259</v>
      </c>
      <c r="K147" s="31" t="s">
        <v>127</v>
      </c>
      <c r="L147" s="31" t="s">
        <v>127</v>
      </c>
      <c r="M147" s="31" t="s">
        <v>127</v>
      </c>
    </row>
    <row r="148" spans="9:13" ht="14.25">
      <c r="I148" s="31" t="s">
        <v>192</v>
      </c>
      <c r="J148" s="31">
        <v>24.156</v>
      </c>
      <c r="K148" s="31" t="s">
        <v>127</v>
      </c>
      <c r="L148" s="31" t="s">
        <v>127</v>
      </c>
      <c r="M148" s="31" t="s">
        <v>127</v>
      </c>
    </row>
    <row r="149" spans="9:13" ht="28.5">
      <c r="I149" s="31" t="s">
        <v>193</v>
      </c>
      <c r="J149" s="31">
        <v>28.889</v>
      </c>
      <c r="K149" s="31" t="s">
        <v>127</v>
      </c>
      <c r="L149" s="31" t="s">
        <v>127</v>
      </c>
      <c r="M149" s="31" t="s">
        <v>127</v>
      </c>
    </row>
    <row r="150" spans="9:13" ht="28.5">
      <c r="I150" s="31" t="s">
        <v>194</v>
      </c>
      <c r="J150" s="31">
        <v>31.61</v>
      </c>
      <c r="K150" s="31" t="s">
        <v>127</v>
      </c>
      <c r="L150" s="31" t="s">
        <v>127</v>
      </c>
      <c r="M150" s="31" t="s">
        <v>127</v>
      </c>
    </row>
    <row r="151" spans="9:13" ht="14.25">
      <c r="I151" s="31" t="s">
        <v>195</v>
      </c>
      <c r="J151" s="31">
        <v>28.548</v>
      </c>
      <c r="K151" s="31" t="s">
        <v>127</v>
      </c>
      <c r="L151" s="31" t="s">
        <v>127</v>
      </c>
      <c r="M151" s="31" t="s">
        <v>127</v>
      </c>
    </row>
    <row r="152" spans="9:13" ht="14.25" customHeight="1">
      <c r="I152" s="344" t="s">
        <v>196</v>
      </c>
      <c r="J152" s="345"/>
      <c r="K152" s="345"/>
      <c r="L152" s="345"/>
      <c r="M152" s="346"/>
    </row>
    <row r="153" spans="9:13" ht="28.5">
      <c r="I153" s="31" t="s">
        <v>197</v>
      </c>
      <c r="J153" s="31">
        <v>32.808</v>
      </c>
      <c r="K153" s="31" t="s">
        <v>127</v>
      </c>
      <c r="L153" s="31" t="s">
        <v>127</v>
      </c>
      <c r="M153" s="31" t="s">
        <v>127</v>
      </c>
    </row>
    <row r="154" spans="9:13" ht="14.25">
      <c r="I154" s="31" t="s">
        <v>68</v>
      </c>
      <c r="J154" s="31">
        <v>120.971</v>
      </c>
      <c r="K154" s="31" t="s">
        <v>127</v>
      </c>
      <c r="L154" s="31" t="s">
        <v>127</v>
      </c>
      <c r="M154" s="31" t="s">
        <v>127</v>
      </c>
    </row>
    <row r="155" spans="9:13" ht="28.5">
      <c r="I155" s="31" t="s">
        <v>198</v>
      </c>
      <c r="J155" s="31">
        <v>10.112</v>
      </c>
      <c r="K155" s="31" t="s">
        <v>127</v>
      </c>
      <c r="L155" s="31" t="s">
        <v>127</v>
      </c>
      <c r="M155" s="31" t="s">
        <v>127</v>
      </c>
    </row>
    <row r="156" spans="9:13" ht="14.25">
      <c r="I156" s="31" t="s">
        <v>199</v>
      </c>
      <c r="J156" s="31">
        <v>18.646</v>
      </c>
      <c r="K156" s="31" t="s">
        <v>127</v>
      </c>
      <c r="L156" s="31" t="s">
        <v>127</v>
      </c>
      <c r="M156" s="31" t="s">
        <v>127</v>
      </c>
    </row>
    <row r="157" spans="9:13" ht="28.5">
      <c r="I157" s="31" t="s">
        <v>200</v>
      </c>
      <c r="J157" s="31">
        <v>9.163</v>
      </c>
      <c r="K157" s="31" t="s">
        <v>127</v>
      </c>
      <c r="L157" s="31" t="s">
        <v>127</v>
      </c>
      <c r="M157" s="31" t="s">
        <v>127</v>
      </c>
    </row>
    <row r="160" ht="14.25">
      <c r="B160" s="1" t="s">
        <v>201</v>
      </c>
    </row>
    <row r="162" ht="23.25">
      <c r="B162" s="252" t="s">
        <v>412</v>
      </c>
    </row>
    <row r="163" ht="14.25">
      <c r="B163" s="176"/>
    </row>
    <row r="164" ht="14.25">
      <c r="B164" s="176" t="s">
        <v>413</v>
      </c>
    </row>
    <row r="166" ht="14.25">
      <c r="B166" s="1" t="s">
        <v>414</v>
      </c>
    </row>
    <row r="167" ht="14.25">
      <c r="B167" s="176"/>
    </row>
    <row r="168" ht="14.25">
      <c r="B168" s="239" t="s">
        <v>415</v>
      </c>
    </row>
    <row r="169" ht="14.25">
      <c r="B169" s="239" t="s">
        <v>416</v>
      </c>
    </row>
    <row r="171" ht="23.25">
      <c r="B171" s="252" t="s">
        <v>417</v>
      </c>
    </row>
    <row r="172" ht="14.25">
      <c r="B172" s="176"/>
    </row>
    <row r="173" ht="14.25">
      <c r="B173" s="239" t="s">
        <v>415</v>
      </c>
    </row>
    <row r="174" ht="14.25">
      <c r="B174" s="239" t="s">
        <v>418</v>
      </c>
    </row>
    <row r="177" ht="14.25">
      <c r="B177" s="253" t="s">
        <v>419</v>
      </c>
    </row>
    <row r="180" ht="14.25">
      <c r="F180" s="177" t="s">
        <v>120</v>
      </c>
    </row>
    <row r="181" spans="6:10" ht="14.25">
      <c r="F181" s="341" t="s">
        <v>463</v>
      </c>
      <c r="G181" s="342"/>
      <c r="H181" s="342"/>
      <c r="I181" s="342"/>
      <c r="J181" s="342"/>
    </row>
    <row r="182" spans="6:10" ht="14.25">
      <c r="F182" s="343" t="s">
        <v>464</v>
      </c>
      <c r="G182" s="342"/>
      <c r="H182" s="342"/>
      <c r="I182" s="342"/>
      <c r="J182" s="342"/>
    </row>
    <row r="183" spans="6:8" ht="28.5">
      <c r="F183" s="152" t="s">
        <v>122</v>
      </c>
      <c r="G183" s="153" t="s">
        <v>465</v>
      </c>
      <c r="H183" s="152" t="s">
        <v>466</v>
      </c>
    </row>
    <row r="184" spans="6:8" ht="14.25">
      <c r="F184" s="160" t="s">
        <v>68</v>
      </c>
      <c r="G184" s="159">
        <v>141.8</v>
      </c>
      <c r="H184" s="159">
        <v>119.96</v>
      </c>
    </row>
    <row r="185" spans="6:8" ht="14.25">
      <c r="F185" s="160" t="s">
        <v>50</v>
      </c>
      <c r="G185" s="159">
        <v>55.5</v>
      </c>
      <c r="H185" s="159">
        <v>50</v>
      </c>
    </row>
    <row r="186" spans="6:8" ht="14.25">
      <c r="F186" s="160" t="s">
        <v>51</v>
      </c>
      <c r="G186" s="159">
        <v>51.9</v>
      </c>
      <c r="H186" s="159">
        <v>47.622</v>
      </c>
    </row>
    <row r="187" spans="6:8" ht="14.25">
      <c r="F187" s="160" t="s">
        <v>52</v>
      </c>
      <c r="G187" s="159">
        <v>50.35</v>
      </c>
      <c r="H187" s="159">
        <v>46.35</v>
      </c>
    </row>
    <row r="188" spans="6:8" ht="14.25">
      <c r="F188" s="160" t="s">
        <v>95</v>
      </c>
      <c r="G188" s="159">
        <v>49.5</v>
      </c>
      <c r="H188" s="159">
        <v>45.75</v>
      </c>
    </row>
    <row r="189" spans="6:8" ht="14.25">
      <c r="F189" s="160" t="s">
        <v>76</v>
      </c>
      <c r="G189" s="159">
        <v>48.6</v>
      </c>
      <c r="H189" s="159">
        <v>45.35</v>
      </c>
    </row>
  </sheetData>
  <sheetProtection/>
  <mergeCells count="16">
    <mergeCell ref="I132:M132"/>
    <mergeCell ref="I122:M122"/>
    <mergeCell ref="C75:G75"/>
    <mergeCell ref="C76:G76"/>
    <mergeCell ref="C99:F99"/>
    <mergeCell ref="I78:M78"/>
    <mergeCell ref="I92:M92"/>
    <mergeCell ref="I100:M100"/>
    <mergeCell ref="I110:M110"/>
    <mergeCell ref="I113:M113"/>
    <mergeCell ref="I116:M116"/>
    <mergeCell ref="F181:J181"/>
    <mergeCell ref="F182:J182"/>
    <mergeCell ref="I141:M141"/>
    <mergeCell ref="I146:M146"/>
    <mergeCell ref="I152:M152"/>
  </mergeCells>
  <hyperlinks>
    <hyperlink ref="C76" r:id="rId1" display="http://www.thermalfluidscentral.org/encyclopedia/index.php/Heat_of_Combustion - References"/>
    <hyperlink ref="D77" r:id="rId2" display="http://www.thermalfluidscentral.org/encyclopedia/index.php/Heat_of_Combustion"/>
    <hyperlink ref="E77" r:id="rId3" display="http://www.thermalfluidscentral.org/encyclopedia/index.php/Heat_of_Combustion"/>
    <hyperlink ref="F77" r:id="rId4" display="http://www.thermalfluidscentral.org/encyclopedia/index.php/Heat_of_Combustion"/>
    <hyperlink ref="G77" r:id="rId5" display="http://www.thermalfluidscentral.org/encyclopedia/index.php/Heat_of_Combustion"/>
    <hyperlink ref="C101" r:id="rId6" display="http://www.thermalfluidscentral.org/encyclopedia/index.php/Heat_of_Combustion"/>
    <hyperlink ref="D101" r:id="rId7" display="http://www.thermalfluidscentral.org/encyclopedia/index.php/Heat_of_Combustion"/>
    <hyperlink ref="E101" r:id="rId8" display="http://www.thermalfluidscentral.org/encyclopedia/index.php/Heat_of_Combustion"/>
    <hyperlink ref="F101" r:id="rId9" display="http://www.thermalfluidscentral.org/encyclopedia/index.php/Heat_of_Combustion"/>
    <hyperlink ref="B168" r:id="rId10" tooltip="http://webbook.nist.gov/chemistry" display="http://webbook.nist.gov/chemistry"/>
    <hyperlink ref="B169" r:id="rId11" tooltip="http://en.wikipedia.org/wiki/Heat_of_combustion" display="http://en.wikipedia.org/wiki/Heat_of_combustion"/>
    <hyperlink ref="B173" r:id="rId12" tooltip="http://webbook.nist.gov/chemistry/" display="http://webbook.nist.gov/chemistry/"/>
    <hyperlink ref="B174" r:id="rId13" tooltip="http://www.wendellhull.com" display="http://www.wendellhull.com/"/>
    <hyperlink ref="B177" r:id="rId14" tooltip="http://en.wikipedia.org/wiki/Wikipedia:General_disclaimer" display="http://en.wikipedia.org/wiki/Wikipedia:General_disclaimer"/>
    <hyperlink ref="F182" r:id="rId15" display="https://en.wikipedia.org/wiki/Heat_of_combustion - cite_note-NIST-4"/>
    <hyperlink ref="G183" r:id="rId16" tooltip="Megajoule" display="https://en.wikipedia.org/wiki/Megajoule"/>
    <hyperlink ref="F184" r:id="rId17" tooltip="Hydrogen" display="https://en.wikipedia.org/wiki/Hydrogen"/>
    <hyperlink ref="F185" r:id="rId18" tooltip="Methane" display="https://en.wikipedia.org/wiki/Methane"/>
    <hyperlink ref="F186" r:id="rId19" tooltip="Ethane" display="https://en.wikipedia.org/wiki/Ethane"/>
    <hyperlink ref="F187" r:id="rId20" tooltip="Propane" display="https://en.wikipedia.org/wiki/Propane"/>
    <hyperlink ref="F188" r:id="rId21" tooltip="Butane" display="https://en.wikipedia.org/wiki/Butane"/>
    <hyperlink ref="F189" r:id="rId22" tooltip="Pentane" display="https://en.wikipedia.org/wiki/Pentane"/>
  </hyperlinks>
  <printOptions/>
  <pageMargins left="0.7" right="0.7" top="0.75" bottom="0.75" header="0.3" footer="0.3"/>
  <pageSetup horizontalDpi="600" verticalDpi="600" orientation="portrait" paperSize="9" r:id="rId27"/>
  <drawing r:id="rId26"/>
  <legacyDrawing r:id="rId25"/>
  <oleObjects>
    <oleObject progId="Equation.3" dvAspect="DVASPECT_ICON" shapeId="2229439" r:id="rId23"/>
    <oleObject progId="Equation.3" shapeId="2229438" r:id="rId24"/>
  </oleObjects>
</worksheet>
</file>

<file path=xl/worksheets/sheet5.xml><?xml version="1.0" encoding="utf-8"?>
<worksheet xmlns="http://schemas.openxmlformats.org/spreadsheetml/2006/main" xmlns:r="http://schemas.openxmlformats.org/officeDocument/2006/relationships">
  <sheetPr codeName="Sheet20"/>
  <dimension ref="B1:I13"/>
  <sheetViews>
    <sheetView showGridLines="0" zoomScalePageLayoutView="0" workbookViewId="0" topLeftCell="A1">
      <selection activeCell="A1" sqref="A1"/>
    </sheetView>
  </sheetViews>
  <sheetFormatPr defaultColWidth="8.8515625" defaultRowHeight="15"/>
  <cols>
    <col min="1" max="2" width="3.140625" style="7" customWidth="1"/>
    <col min="3" max="16384" width="8.8515625" style="7" customWidth="1"/>
  </cols>
  <sheetData>
    <row r="1" spans="3:9" ht="14.25">
      <c r="C1" s="126"/>
      <c r="D1" s="109"/>
      <c r="E1" s="109"/>
      <c r="F1" s="109"/>
      <c r="G1" s="109"/>
      <c r="H1" s="109"/>
      <c r="I1" s="109"/>
    </row>
    <row r="3" spans="2:4" ht="12.75">
      <c r="B3" s="7" t="s">
        <v>326</v>
      </c>
      <c r="D3" s="7" t="s">
        <v>327</v>
      </c>
    </row>
    <row r="4" ht="12.75">
      <c r="D4" s="7" t="s">
        <v>328</v>
      </c>
    </row>
    <row r="5" ht="12.75">
      <c r="D5" s="7" t="s">
        <v>329</v>
      </c>
    </row>
    <row r="6" ht="12.75">
      <c r="D6" s="7" t="s">
        <v>330</v>
      </c>
    </row>
    <row r="7" ht="12.75">
      <c r="D7" s="7" t="s">
        <v>331</v>
      </c>
    </row>
    <row r="9" spans="2:4" ht="14.25">
      <c r="B9" s="170" t="s">
        <v>421</v>
      </c>
      <c r="D9" s="170" t="s">
        <v>420</v>
      </c>
    </row>
    <row r="10" ht="12.75">
      <c r="D10" s="123" t="s">
        <v>403</v>
      </c>
    </row>
    <row r="13" spans="2:4" ht="12.75">
      <c r="B13" s="7" t="s">
        <v>429</v>
      </c>
      <c r="D13" s="7" t="s">
        <v>470</v>
      </c>
    </row>
  </sheetData>
  <sheetProtection/>
  <hyperlinks>
    <hyperlink ref="C52" r:id="rId1" display="http://www.google.cl/url?sa=t&amp;rct=j&amp;q=&amp;esrc=s&amp;source=web&amp;cd=13&amp;cad=rja&amp;ved=0CEoQFjACOAo&amp;url=http%3A%2F%2Fwww.chem.mtu.edu%2F%7Ecrowl%2FCM3110%2FLecture19.ppt&amp;ei=gDV-UruTGLTTsAT93YGgAg&amp;usg=AFQjCNEGRnuDeS_PnjE0-xC7qyruTB7-jQ&amp;bvm=bv.56146854,d.cWc"/>
    <hyperlink ref="C53" r:id="rId2" display="http://translate.google.cl/translate?hl=es-419&amp;sl=en&amp;u=http://www.chem.mtu.edu/%7Ecrowl/CM3110/Lecture19.ppt&amp;prev=/search%3Fq%3Dsteam%2Bpipe%2Bconvection%26start%3D10%26sa%3DN%26biw%3D1920%26bih%3D888"/>
    <hyperlink ref="C61" r:id="rId3" display="http://www.thermalfluidscentral.org/e-resources/download.php?id=??"/>
    <hyperlink ref="C66" r:id="rId4" display="http://www.mace.manchester.ac.uk/aboutus/staff/academic/profile/index.html?staffId=15"/>
    <hyperlink ref="C103" r:id="rId5" display="cjcruz@vtr.net"/>
    <hyperlink ref="C46" r:id="rId6" display="http://www.engineeringtoolbox.com/flow-velocity-steam-pipes-d_386.html"/>
    <hyperlink ref="C79" r:id="rId7" display="http://www.insulation.org/pdf/Insulation_Materials_Spec_Chart_Updated_March_2015.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Aliosha</dc:creator>
  <cp:keywords/>
  <dc:description/>
  <cp:lastModifiedBy>Windows User</cp:lastModifiedBy>
  <dcterms:created xsi:type="dcterms:W3CDTF">2015-05-04T15:47:37Z</dcterms:created>
  <dcterms:modified xsi:type="dcterms:W3CDTF">2018-08-19T15:58:21Z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